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1"/>
  </bookViews>
  <sheets>
    <sheet name="แผนงานบริหารงานทั่วไป (กองคลัง)" sheetId="1" r:id="rId1"/>
    <sheet name="รวม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1" l="1"/>
  <c r="E127" i="11"/>
  <c r="D127" i="11"/>
  <c r="E126" i="11"/>
  <c r="D126" i="11"/>
  <c r="F89" i="11"/>
  <c r="E89" i="11"/>
  <c r="D89" i="11"/>
  <c r="E88" i="11"/>
  <c r="D88" i="11"/>
  <c r="F51" i="11"/>
  <c r="E51" i="11"/>
  <c r="D51" i="11"/>
  <c r="D50" i="11"/>
  <c r="F12" i="11"/>
  <c r="F13" i="11"/>
  <c r="E13" i="11"/>
  <c r="D13" i="11"/>
  <c r="D12" i="11"/>
  <c r="F126" i="11"/>
  <c r="F88" i="11"/>
  <c r="F54" i="11"/>
  <c r="F53" i="11"/>
  <c r="F50" i="11"/>
  <c r="E50" i="11"/>
  <c r="E12" i="11"/>
  <c r="F124" i="11"/>
  <c r="E124" i="11"/>
  <c r="D124" i="11"/>
  <c r="F86" i="11"/>
  <c r="E86" i="11"/>
  <c r="D86" i="11"/>
  <c r="F48" i="11"/>
  <c r="E48" i="11"/>
  <c r="D48" i="11"/>
  <c r="F10" i="11"/>
  <c r="E10" i="11"/>
  <c r="D10" i="11"/>
  <c r="E131" i="11"/>
  <c r="C131" i="11" s="1"/>
  <c r="D131" i="11"/>
  <c r="F128" i="11"/>
  <c r="E128" i="11"/>
  <c r="D128" i="11"/>
  <c r="F125" i="11"/>
  <c r="E125" i="11"/>
  <c r="D125" i="11"/>
  <c r="F90" i="11"/>
  <c r="E90" i="11"/>
  <c r="D90" i="11"/>
  <c r="F87" i="11"/>
  <c r="E87" i="11"/>
  <c r="D87" i="11"/>
  <c r="F52" i="11"/>
  <c r="E52" i="11"/>
  <c r="D52" i="11"/>
  <c r="F49" i="11"/>
  <c r="E49" i="11"/>
  <c r="D49" i="11"/>
  <c r="F17" i="11"/>
  <c r="F14" i="11"/>
  <c r="E14" i="11"/>
  <c r="D14" i="11"/>
  <c r="F11" i="11"/>
  <c r="E11" i="11"/>
  <c r="D11" i="11"/>
  <c r="C130" i="11"/>
  <c r="C129" i="11"/>
  <c r="C125" i="11"/>
  <c r="C123" i="11"/>
  <c r="C122" i="11"/>
  <c r="C93" i="11"/>
  <c r="E92" i="11"/>
  <c r="C92" i="11"/>
  <c r="C91" i="11"/>
  <c r="C90" i="11"/>
  <c r="C87" i="11"/>
  <c r="C85" i="11"/>
  <c r="C84" i="11"/>
  <c r="C55" i="11"/>
  <c r="C54" i="11"/>
  <c r="C53" i="11"/>
  <c r="D56" i="11"/>
  <c r="C47" i="11"/>
  <c r="C46" i="11"/>
  <c r="C17" i="11"/>
  <c r="C16" i="11"/>
  <c r="C15" i="11"/>
  <c r="C14" i="11"/>
  <c r="C9" i="11"/>
  <c r="C8" i="11"/>
  <c r="L6" i="11"/>
  <c r="K6" i="11"/>
  <c r="C127" i="11" l="1"/>
  <c r="C89" i="11"/>
  <c r="C13" i="11"/>
  <c r="C124" i="11"/>
  <c r="C12" i="11"/>
  <c r="C128" i="11"/>
  <c r="D132" i="11"/>
  <c r="C126" i="11"/>
  <c r="F132" i="11"/>
  <c r="E132" i="11"/>
  <c r="E94" i="11"/>
  <c r="F94" i="11"/>
  <c r="C88" i="11"/>
  <c r="C86" i="11"/>
  <c r="C52" i="11"/>
  <c r="C51" i="11"/>
  <c r="C50" i="11"/>
  <c r="F56" i="11"/>
  <c r="E56" i="11"/>
  <c r="C49" i="11"/>
  <c r="F18" i="11"/>
  <c r="E18" i="11"/>
  <c r="C11" i="11"/>
  <c r="D18" i="11"/>
  <c r="D94" i="11"/>
  <c r="C10" i="11"/>
  <c r="C48" i="11"/>
  <c r="K18" i="1"/>
  <c r="J18" i="1"/>
  <c r="J13" i="1"/>
  <c r="L13" i="1" s="1"/>
  <c r="F124" i="1"/>
  <c r="E87" i="1"/>
  <c r="E50" i="1"/>
  <c r="D13" i="1"/>
  <c r="J12" i="1"/>
  <c r="J14" i="1"/>
  <c r="L12" i="1"/>
  <c r="J11" i="1"/>
  <c r="J10" i="1"/>
  <c r="D124" i="1"/>
  <c r="D87" i="1"/>
  <c r="D50" i="1"/>
  <c r="F13" i="1"/>
  <c r="C87" i="1"/>
  <c r="D123" i="1"/>
  <c r="F86" i="1"/>
  <c r="F92" i="1" s="1"/>
  <c r="E86" i="1"/>
  <c r="D86" i="1"/>
  <c r="F49" i="1"/>
  <c r="F55" i="1" s="1"/>
  <c r="E49" i="1"/>
  <c r="D49" i="1"/>
  <c r="F12" i="1"/>
  <c r="E12" i="1"/>
  <c r="D12" i="1"/>
  <c r="F123" i="1"/>
  <c r="F129" i="1" s="1"/>
  <c r="E85" i="1"/>
  <c r="D48" i="1"/>
  <c r="D122" i="1"/>
  <c r="D85" i="1"/>
  <c r="F48" i="1"/>
  <c r="F11" i="1"/>
  <c r="C48" i="1"/>
  <c r="I85" i="1"/>
  <c r="E129" i="1"/>
  <c r="C128" i="1"/>
  <c r="C127" i="1"/>
  <c r="C126" i="1"/>
  <c r="C125" i="1"/>
  <c r="C121" i="1"/>
  <c r="C120" i="1"/>
  <c r="C91" i="1"/>
  <c r="C90" i="1"/>
  <c r="C89" i="1"/>
  <c r="C88" i="1"/>
  <c r="C84" i="1"/>
  <c r="C83" i="1"/>
  <c r="C54" i="1"/>
  <c r="C53" i="1"/>
  <c r="C52" i="1"/>
  <c r="C51" i="1"/>
  <c r="C47" i="1"/>
  <c r="C46" i="1"/>
  <c r="C132" i="11" l="1"/>
  <c r="G115" i="11" s="1"/>
  <c r="C94" i="11"/>
  <c r="C56" i="11"/>
  <c r="C18" i="11"/>
  <c r="G1" i="11" s="1"/>
  <c r="C124" i="1"/>
  <c r="E55" i="1"/>
  <c r="C50" i="1"/>
  <c r="D55" i="1"/>
  <c r="D129" i="1"/>
  <c r="D92" i="1"/>
  <c r="C123" i="1"/>
  <c r="E92" i="1"/>
  <c r="C86" i="1"/>
  <c r="C49" i="1"/>
  <c r="C85" i="1"/>
  <c r="C122" i="1"/>
  <c r="C92" i="1"/>
  <c r="C55" i="1"/>
  <c r="G77" i="11" l="1"/>
  <c r="G39" i="11"/>
  <c r="C129" i="1"/>
  <c r="C10" i="1" l="1"/>
  <c r="C11" i="1"/>
  <c r="C12" i="1"/>
  <c r="C13" i="1"/>
  <c r="C14" i="1"/>
  <c r="C15" i="1"/>
  <c r="C16" i="1"/>
  <c r="C17" i="1"/>
  <c r="C9" i="1"/>
  <c r="C18" i="1" l="1"/>
  <c r="D18" i="1"/>
  <c r="E18" i="1"/>
  <c r="F18" i="1"/>
</calcChain>
</file>

<file path=xl/sharedStrings.xml><?xml version="1.0" encoding="utf-8"?>
<sst xmlns="http://schemas.openxmlformats.org/spreadsheetml/2006/main" count="261" uniqueCount="52">
  <si>
    <t>องค์การบริหารส่วนตำบลบ่อแก้ว</t>
  </si>
  <si>
    <t>ลำดับที่</t>
  </si>
  <si>
    <t>รายการ</t>
  </si>
  <si>
    <t>ประมาณการค่าใช้จ่าย</t>
  </si>
  <si>
    <t>รวม</t>
  </si>
  <si>
    <t>เดือนตุลาคม</t>
  </si>
  <si>
    <t>เดือนพฤศจิกายน</t>
  </si>
  <si>
    <t>เดือนธันวาคม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</si>
  <si>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</si>
  <si>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</si>
  <si>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</si>
  <si>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</si>
  <si>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</si>
  <si>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</si>
  <si>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</si>
  <si>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</si>
  <si>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หมายเหตุ........................................................................................................................................................................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</si>
  <si>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</t>
  </si>
  <si>
    <t>ลงชื่อ                                     หัวหน้าหน่วยงาน</t>
  </si>
  <si>
    <t>ตำแหน่ง  เจ้าพนักงานการเงินและบัญชีชำนาญงาน</t>
  </si>
  <si>
    <t>ตำแหน่ง  ผู้อำนวยการกองคลัง</t>
  </si>
  <si>
    <t xml:space="preserve">          (นายกิตติธัช    บุรัตน์)</t>
  </si>
  <si>
    <t xml:space="preserve">        (นางสมมุติ    เพียรภูเขา)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</si>
  <si>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</si>
  <si>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</si>
  <si>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</si>
  <si>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</si>
  <si>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</si>
  <si>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เดือนมิถุนายน</t>
  </si>
  <si>
    <t>เดือนสิงหาคม</t>
  </si>
  <si>
    <t>เดือนกันยายน</t>
  </si>
  <si>
    <t>แผนการใช้เงินของหน่วยงาน  กองคลัง</t>
  </si>
  <si>
    <t>(นายกิตติธัช  บุรัตน์)</t>
  </si>
  <si>
    <t>(นางสมมุติ  เพียรภูเขา)</t>
  </si>
  <si>
    <t>งบประมาณรายจ่าย  ประจำปี  พ.ศ.2565</t>
  </si>
  <si>
    <t>ไตรมาสที่  1  ตั้งแต่เดือน  ตุลาคม  2564  ถึงเดือนธันวาคม  2564</t>
  </si>
  <si>
    <t>ไตรมาสที่  2  ตั้งแต่เดือน  มกราคม  2565  ถึงเดือนมีนาคม  2565</t>
  </si>
  <si>
    <t>ไตรมาสที่  3  ตั้งแต่เดือน  เมษายน  2565  ถึงเดือนมิถุนายน  2565</t>
  </si>
  <si>
    <t>ไตรมาสที่  4  ตั้งแต่เดือน  กรกฎาคม  2565  ถึงเดือนกันยายน  2565</t>
  </si>
  <si>
    <t>แผนการใช้จ่ายเงิน</t>
  </si>
  <si>
    <t>ลงชื่อ                                  ผู้ตรวจสอบ</t>
  </si>
  <si>
    <t>ลงชื่อ                                 ผู้จัดทำ</t>
  </si>
  <si>
    <t>ตำแหน่ง เจ้าพนักงานการเงินและบัญชีชำนาญงาน</t>
  </si>
  <si>
    <t>เงินเดือน (ฝ่ายการเมือง)</t>
  </si>
  <si>
    <t>เงินเดือน (ฝ่ายประจำ)</t>
  </si>
  <si>
    <t>ไตรมาสที่  4  ตั้งแต่เดือน  กรกฏาคม  2565  ถึงเดือนกันยายน  2565</t>
  </si>
  <si>
    <t>เดือนกรกฏาคม</t>
  </si>
  <si>
    <t>เงินเดือน  (ฝ่ายการเมือง)</t>
  </si>
  <si>
    <t>ผู้ตรวจสอบ</t>
  </si>
  <si>
    <t>หมายเหตุ....................................................................................................</t>
  </si>
  <si>
    <t>.....................................................................................................</t>
  </si>
  <si>
    <t>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</si>
</sst>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1" applyNumberFormat="1" applyFont="1" applyBorder="1"/>
    <xf numFmtId="0" fontId="1" fillId="0" borderId="0" xfId="0" applyFont="1" applyAlignment="1">
      <alignment horizontal="center"/>
    </xf>
    <xf numFmtId="165" fontId="2" fillId="0" borderId="1" xfId="1" applyNumberFormat="1" applyFont="1" applyBorder="1"/>
    <xf numFmtId="166" fontId="1" fillId="0" borderId="1" xfId="0" applyNumberFormat="1" applyFont="1" applyBorder="1"/>
    <xf numFmtId="166" fontId="1" fillId="0" borderId="1" xfId="1" applyNumberFormat="1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0" xfId="1" applyFont="1"/>
    <xf numFmtId="164" fontId="1" fillId="0" borderId="0" xfId="1" applyFont="1"/>
    <xf numFmtId="164" fontId="5" fillId="0" borderId="0" xfId="1" applyFont="1"/>
    <xf numFmtId="164" fontId="4" fillId="0" borderId="0" xfId="0" applyNumberFormat="1" applyFont="1"/>
    <xf numFmtId="0" fontId="2" fillId="0" borderId="0" xfId="0" applyFont="1" applyAlignment="1">
      <alignment horizontal="right"/>
    </xf>
    <xf numFmtId="43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115" zoomScale="120" zoomScaleNormal="120" workbookViewId="0">
      <selection activeCell="E144" sqref="E144"/>
    </sheetView>
  </sheetViews>
  <sheetFormatPr defaultColWidth="9.140625" defaultRowHeight="20.25" x14ac:dyDescent="0.3"/>
  <cols>
    <col min="1" max="1" width="7.85546875" style="1" customWidth="1"/>
    <col min="2" max="2" width="20.7109375" style="1" customWidth="1"/>
    <col min="3" max="3" width="14" style="1" customWidth="1"/>
    <col min="4" max="4" width="16" style="1" customWidth="1"/>
    <col min="5" max="5" width="15.7109375" style="1" customWidth="1"/>
    <col min="6" max="6" width="15.28515625" style="1" customWidth="1"/>
    <col min="7" max="7" width="9.140625" style="1"/>
    <col min="8" max="8" width="3.7109375" style="1" customWidth="1"/>
    <col min="9" max="9" width="19.140625" style="1" customWidth="1"/>
    <col min="10" max="10" width="17.5703125" style="1" customWidth="1"/>
    <col min="11" max="11" width="18.5703125" style="1" customWidth="1"/>
    <col min="12" max="12" width="18.140625" style="1" customWidth="1"/>
    <col min="13" max="16384" width="9.140625" style="1"/>
  </cols>
  <sheetData>
    <row r="1" spans="1:12" x14ac:dyDescent="0.3">
      <c r="A1" s="23" t="s">
        <v>31</v>
      </c>
      <c r="B1" s="23"/>
      <c r="C1" s="23"/>
      <c r="D1" s="23"/>
      <c r="E1" s="23"/>
      <c r="F1" s="23"/>
    </row>
    <row r="2" spans="1:12" x14ac:dyDescent="0.3">
      <c r="A2" s="23" t="s">
        <v>0</v>
      </c>
      <c r="B2" s="23"/>
      <c r="C2" s="23"/>
      <c r="D2" s="23"/>
      <c r="E2" s="23"/>
      <c r="F2" s="23"/>
    </row>
    <row r="3" spans="1:12" x14ac:dyDescent="0.3">
      <c r="A3" s="23" t="s">
        <v>34</v>
      </c>
      <c r="B3" s="23"/>
      <c r="C3" s="23"/>
      <c r="D3" s="23"/>
      <c r="E3" s="23"/>
      <c r="F3" s="23"/>
    </row>
    <row r="4" spans="1:12" x14ac:dyDescent="0.3">
      <c r="A4" s="23" t="s">
        <v>35</v>
      </c>
      <c r="B4" s="23"/>
      <c r="C4" s="23"/>
      <c r="D4" s="23"/>
      <c r="E4" s="23"/>
      <c r="F4" s="23"/>
    </row>
    <row r="6" spans="1:12" x14ac:dyDescent="0.3">
      <c r="A6" s="21" t="s">
        <v>1</v>
      </c>
      <c r="B6" s="21" t="s">
        <v>2</v>
      </c>
      <c r="C6" s="22" t="s">
        <v>3</v>
      </c>
      <c r="D6" s="22"/>
      <c r="E6" s="22"/>
      <c r="F6" s="22"/>
    </row>
    <row r="7" spans="1:12" x14ac:dyDescent="0.3">
      <c r="A7" s="21"/>
      <c r="B7" s="21"/>
      <c r="C7" s="2" t="s">
        <v>4</v>
      </c>
      <c r="D7" s="2" t="s">
        <v>5</v>
      </c>
      <c r="E7" s="2" t="s">
        <v>6</v>
      </c>
      <c r="F7" s="2" t="s">
        <v>7</v>
      </c>
    </row>
    <row r="8" spans="1:12" x14ac:dyDescent="0.3">
      <c r="A8" s="4">
        <v>1</v>
      </c>
      <c r="B8" s="3" t="s">
        <v>8</v>
      </c>
      <c r="C8" s="3"/>
      <c r="D8" s="3"/>
      <c r="E8" s="3"/>
      <c r="F8" s="3"/>
    </row>
    <row r="9" spans="1:12" x14ac:dyDescent="0.3">
      <c r="A9" s="4">
        <v>2</v>
      </c>
      <c r="B9" s="3" t="s">
        <v>47</v>
      </c>
      <c r="C9" s="5">
        <f t="shared" ref="C9:C17" si="0">D9+E9+F9</f>
        <v>0</v>
      </c>
      <c r="D9" s="5"/>
      <c r="E9" s="5"/>
      <c r="F9" s="5"/>
    </row>
    <row r="10" spans="1:12" x14ac:dyDescent="0.3">
      <c r="A10" s="4">
        <v>3</v>
      </c>
      <c r="B10" s="3" t="s">
        <v>44</v>
      </c>
      <c r="C10" s="5">
        <f t="shared" si="0"/>
        <v>750000</v>
      </c>
      <c r="D10" s="5">
        <v>250000</v>
      </c>
      <c r="E10" s="5">
        <v>250000</v>
      </c>
      <c r="F10" s="5">
        <v>250000</v>
      </c>
      <c r="I10" s="3" t="s">
        <v>44</v>
      </c>
      <c r="J10" s="14">
        <f>750000+750000+800760+800760</f>
        <v>3101520</v>
      </c>
      <c r="K10" s="14">
        <v>3101520</v>
      </c>
    </row>
    <row r="11" spans="1:12" x14ac:dyDescent="0.3">
      <c r="A11" s="4">
        <v>4</v>
      </c>
      <c r="B11" s="3" t="s">
        <v>9</v>
      </c>
      <c r="C11" s="5">
        <f t="shared" si="0"/>
        <v>76000</v>
      </c>
      <c r="D11" s="5">
        <v>10000</v>
      </c>
      <c r="E11" s="5">
        <v>10000</v>
      </c>
      <c r="F11" s="5">
        <f>25000+1000+20000+10000</f>
        <v>56000</v>
      </c>
      <c r="I11" s="3" t="s">
        <v>9</v>
      </c>
      <c r="J11" s="14">
        <f>76000+38500+39500+31000</f>
        <v>185000</v>
      </c>
      <c r="K11" s="14">
        <v>185000</v>
      </c>
    </row>
    <row r="12" spans="1:12" x14ac:dyDescent="0.3">
      <c r="A12" s="4">
        <v>5</v>
      </c>
      <c r="B12" s="3" t="s">
        <v>10</v>
      </c>
      <c r="C12" s="5">
        <f t="shared" si="0"/>
        <v>62000</v>
      </c>
      <c r="D12" s="5">
        <f>7000+2000</f>
        <v>9000</v>
      </c>
      <c r="E12" s="5">
        <f>7000+15000+2000</f>
        <v>24000</v>
      </c>
      <c r="F12" s="5">
        <f>7000+20000+2000</f>
        <v>29000</v>
      </c>
      <c r="I12" s="3" t="s">
        <v>10</v>
      </c>
      <c r="J12" s="14">
        <f>62000+27000+376000+53000</f>
        <v>518000</v>
      </c>
      <c r="K12" s="14">
        <v>518000</v>
      </c>
      <c r="L12" s="18">
        <f>J12-K12</f>
        <v>0</v>
      </c>
    </row>
    <row r="13" spans="1:12" x14ac:dyDescent="0.3">
      <c r="A13" s="4">
        <v>6</v>
      </c>
      <c r="B13" s="3" t="s">
        <v>11</v>
      </c>
      <c r="C13" s="5">
        <f t="shared" si="0"/>
        <v>56200</v>
      </c>
      <c r="D13" s="5">
        <f>20000+5000+400+5000</f>
        <v>30400</v>
      </c>
      <c r="E13" s="5">
        <v>400</v>
      </c>
      <c r="F13" s="5">
        <f>400+20000+5000</f>
        <v>25400</v>
      </c>
      <c r="I13" s="3" t="s">
        <v>11</v>
      </c>
      <c r="J13" s="14">
        <f>56200+26200+46200+46400</f>
        <v>175000</v>
      </c>
      <c r="K13" s="14">
        <v>175000</v>
      </c>
      <c r="L13" s="18">
        <f>J13-K13</f>
        <v>0</v>
      </c>
    </row>
    <row r="14" spans="1:12" x14ac:dyDescent="0.3">
      <c r="A14" s="4">
        <v>7</v>
      </c>
      <c r="B14" s="3" t="s">
        <v>12</v>
      </c>
      <c r="C14" s="5">
        <f t="shared" si="0"/>
        <v>22500</v>
      </c>
      <c r="D14" s="5">
        <v>7500</v>
      </c>
      <c r="E14" s="5">
        <v>7500</v>
      </c>
      <c r="F14" s="5">
        <v>7500</v>
      </c>
      <c r="I14" s="3" t="s">
        <v>12</v>
      </c>
      <c r="J14" s="14">
        <f>22500+22500+22500+22500</f>
        <v>90000</v>
      </c>
      <c r="K14" s="14">
        <v>90000</v>
      </c>
    </row>
    <row r="15" spans="1:12" x14ac:dyDescent="0.3">
      <c r="A15" s="4">
        <v>8</v>
      </c>
      <c r="B15" s="3" t="s">
        <v>14</v>
      </c>
      <c r="C15" s="5">
        <f t="shared" si="0"/>
        <v>0</v>
      </c>
      <c r="D15" s="5">
        <v>0</v>
      </c>
      <c r="E15" s="5">
        <v>0</v>
      </c>
      <c r="F15" s="5">
        <v>0</v>
      </c>
      <c r="I15" s="3" t="s">
        <v>14</v>
      </c>
      <c r="J15" s="14">
        <v>51600</v>
      </c>
      <c r="K15" s="14">
        <v>51600</v>
      </c>
    </row>
    <row r="16" spans="1:12" x14ac:dyDescent="0.3">
      <c r="A16" s="4">
        <v>9</v>
      </c>
      <c r="B16" s="3" t="s">
        <v>15</v>
      </c>
      <c r="C16" s="5">
        <f t="shared" si="0"/>
        <v>0</v>
      </c>
      <c r="D16" s="5">
        <v>0</v>
      </c>
      <c r="E16" s="5">
        <v>0</v>
      </c>
      <c r="F16" s="5">
        <v>0</v>
      </c>
      <c r="I16" s="3" t="s">
        <v>15</v>
      </c>
      <c r="J16" s="14"/>
    </row>
    <row r="17" spans="1:11" x14ac:dyDescent="0.3">
      <c r="A17" s="4">
        <v>10</v>
      </c>
      <c r="B17" s="3" t="s">
        <v>13</v>
      </c>
      <c r="C17" s="5">
        <f t="shared" si="0"/>
        <v>0</v>
      </c>
      <c r="D17" s="5">
        <v>0</v>
      </c>
      <c r="E17" s="5">
        <v>0</v>
      </c>
      <c r="F17" s="5">
        <v>0</v>
      </c>
      <c r="I17" s="3" t="s">
        <v>13</v>
      </c>
      <c r="J17" s="14"/>
    </row>
    <row r="18" spans="1:11" x14ac:dyDescent="0.3">
      <c r="A18" s="24" t="s">
        <v>4</v>
      </c>
      <c r="B18" s="25"/>
      <c r="C18" s="7">
        <f>SUM(C9:C17)</f>
        <v>966700</v>
      </c>
      <c r="D18" s="7">
        <f>SUM(D9:D17)</f>
        <v>306900</v>
      </c>
      <c r="E18" s="7">
        <f>SUM(E9:E17)</f>
        <v>291900</v>
      </c>
      <c r="F18" s="7">
        <f>SUM(F9:F17)</f>
        <v>367900</v>
      </c>
      <c r="I18" s="17" t="s">
        <v>4</v>
      </c>
      <c r="J18" s="16">
        <f>SUM(J10:J17)</f>
        <v>4121120</v>
      </c>
      <c r="K18" s="16">
        <f>SUM(K10:K17)</f>
        <v>4121120</v>
      </c>
    </row>
    <row r="20" spans="1:11" x14ac:dyDescent="0.3">
      <c r="A20" s="1" t="s">
        <v>16</v>
      </c>
    </row>
    <row r="21" spans="1:11" x14ac:dyDescent="0.3">
      <c r="B21" s="1" t="s">
        <v>17</v>
      </c>
    </row>
    <row r="22" spans="1:11" x14ac:dyDescent="0.3">
      <c r="B22" s="1" t="s">
        <v>17</v>
      </c>
    </row>
    <row r="26" spans="1:11" x14ac:dyDescent="0.3">
      <c r="A26" s="20" t="s">
        <v>41</v>
      </c>
      <c r="B26" s="20"/>
      <c r="C26" s="20"/>
      <c r="D26" s="1" t="s">
        <v>18</v>
      </c>
      <c r="E26" s="20" t="s">
        <v>48</v>
      </c>
      <c r="F26" s="20"/>
    </row>
    <row r="27" spans="1:11" x14ac:dyDescent="0.3">
      <c r="B27" s="6" t="s">
        <v>32</v>
      </c>
      <c r="D27" s="20" t="s">
        <v>33</v>
      </c>
      <c r="E27" s="20"/>
    </row>
    <row r="28" spans="1:11" x14ac:dyDescent="0.3">
      <c r="A28" s="20" t="s">
        <v>19</v>
      </c>
      <c r="B28" s="20"/>
      <c r="C28" s="20"/>
      <c r="D28" s="1" t="s">
        <v>20</v>
      </c>
    </row>
    <row r="38" spans="1:6" x14ac:dyDescent="0.3">
      <c r="A38" s="23" t="s">
        <v>31</v>
      </c>
      <c r="B38" s="23"/>
      <c r="C38" s="23"/>
      <c r="D38" s="23"/>
      <c r="E38" s="23"/>
      <c r="F38" s="23"/>
    </row>
    <row r="39" spans="1:6" x14ac:dyDescent="0.3">
      <c r="A39" s="23" t="s">
        <v>0</v>
      </c>
      <c r="B39" s="23"/>
      <c r="C39" s="23"/>
      <c r="D39" s="23"/>
      <c r="E39" s="23"/>
      <c r="F39" s="23"/>
    </row>
    <row r="40" spans="1:6" x14ac:dyDescent="0.3">
      <c r="A40" s="23" t="s">
        <v>34</v>
      </c>
      <c r="B40" s="23"/>
      <c r="C40" s="23"/>
      <c r="D40" s="23"/>
      <c r="E40" s="23"/>
      <c r="F40" s="23"/>
    </row>
    <row r="41" spans="1:6" x14ac:dyDescent="0.3">
      <c r="A41" s="23" t="s">
        <v>36</v>
      </c>
      <c r="B41" s="23"/>
      <c r="C41" s="23"/>
      <c r="D41" s="23"/>
      <c r="E41" s="23"/>
      <c r="F41" s="23"/>
    </row>
    <row r="43" spans="1:6" x14ac:dyDescent="0.3">
      <c r="A43" s="21" t="s">
        <v>1</v>
      </c>
      <c r="B43" s="21" t="s">
        <v>2</v>
      </c>
      <c r="C43" s="22" t="s">
        <v>3</v>
      </c>
      <c r="D43" s="22"/>
      <c r="E43" s="22"/>
      <c r="F43" s="22"/>
    </row>
    <row r="44" spans="1:6" x14ac:dyDescent="0.3">
      <c r="A44" s="21"/>
      <c r="B44" s="21"/>
      <c r="C44" s="12" t="s">
        <v>4</v>
      </c>
      <c r="D44" s="12" t="s">
        <v>23</v>
      </c>
      <c r="E44" s="12" t="s">
        <v>24</v>
      </c>
      <c r="F44" s="12" t="s">
        <v>25</v>
      </c>
    </row>
    <row r="45" spans="1:6" x14ac:dyDescent="0.3">
      <c r="A45" s="4">
        <v>1</v>
      </c>
      <c r="B45" s="3" t="s">
        <v>8</v>
      </c>
      <c r="C45" s="3"/>
      <c r="D45" s="3"/>
      <c r="E45" s="3"/>
      <c r="F45" s="3"/>
    </row>
    <row r="46" spans="1:6" x14ac:dyDescent="0.3">
      <c r="A46" s="4">
        <v>2</v>
      </c>
      <c r="B46" s="3" t="s">
        <v>47</v>
      </c>
      <c r="C46" s="5">
        <f t="shared" ref="C46:C54" si="1">D46+E46+F46</f>
        <v>0</v>
      </c>
      <c r="D46" s="5"/>
      <c r="E46" s="5"/>
      <c r="F46" s="5"/>
    </row>
    <row r="47" spans="1:6" x14ac:dyDescent="0.3">
      <c r="A47" s="4">
        <v>3</v>
      </c>
      <c r="B47" s="3" t="s">
        <v>44</v>
      </c>
      <c r="C47" s="5">
        <f t="shared" si="1"/>
        <v>750000</v>
      </c>
      <c r="D47" s="5">
        <v>250000</v>
      </c>
      <c r="E47" s="5">
        <v>250000</v>
      </c>
      <c r="F47" s="5">
        <v>250000</v>
      </c>
    </row>
    <row r="48" spans="1:6" x14ac:dyDescent="0.3">
      <c r="A48" s="4">
        <v>4</v>
      </c>
      <c r="B48" s="3" t="s">
        <v>9</v>
      </c>
      <c r="C48" s="5">
        <f t="shared" si="1"/>
        <v>38500</v>
      </c>
      <c r="D48" s="5">
        <f>10000+7500</f>
        <v>17500</v>
      </c>
      <c r="E48" s="5">
        <v>10000</v>
      </c>
      <c r="F48" s="5">
        <f>1000+10000</f>
        <v>11000</v>
      </c>
    </row>
    <row r="49" spans="1:6" x14ac:dyDescent="0.3">
      <c r="A49" s="4">
        <v>5</v>
      </c>
      <c r="B49" s="3" t="s">
        <v>10</v>
      </c>
      <c r="C49" s="5">
        <f t="shared" si="1"/>
        <v>27000</v>
      </c>
      <c r="D49" s="5">
        <f>7000+2000</f>
        <v>9000</v>
      </c>
      <c r="E49" s="5">
        <f>7000+2000</f>
        <v>9000</v>
      </c>
      <c r="F49" s="5">
        <f>7000+2000</f>
        <v>9000</v>
      </c>
    </row>
    <row r="50" spans="1:6" x14ac:dyDescent="0.3">
      <c r="A50" s="4">
        <v>6</v>
      </c>
      <c r="B50" s="3" t="s">
        <v>11</v>
      </c>
      <c r="C50" s="5">
        <f t="shared" si="1"/>
        <v>26200</v>
      </c>
      <c r="D50" s="5">
        <f>5000+400+10000+5000</f>
        <v>20400</v>
      </c>
      <c r="E50" s="5">
        <f>400+5000</f>
        <v>5400</v>
      </c>
      <c r="F50" s="5">
        <v>400</v>
      </c>
    </row>
    <row r="51" spans="1:6" x14ac:dyDescent="0.3">
      <c r="A51" s="4">
        <v>7</v>
      </c>
      <c r="B51" s="3" t="s">
        <v>12</v>
      </c>
      <c r="C51" s="5">
        <f t="shared" si="1"/>
        <v>22500</v>
      </c>
      <c r="D51" s="5">
        <v>7500</v>
      </c>
      <c r="E51" s="5">
        <v>7500</v>
      </c>
      <c r="F51" s="5">
        <v>7500</v>
      </c>
    </row>
    <row r="52" spans="1:6" x14ac:dyDescent="0.3">
      <c r="A52" s="4">
        <v>8</v>
      </c>
      <c r="B52" s="3" t="s">
        <v>14</v>
      </c>
      <c r="C52" s="5">
        <f t="shared" si="1"/>
        <v>0</v>
      </c>
      <c r="D52" s="5">
        <v>0</v>
      </c>
      <c r="E52" s="5">
        <v>0</v>
      </c>
      <c r="F52" s="5">
        <v>0</v>
      </c>
    </row>
    <row r="53" spans="1:6" x14ac:dyDescent="0.3">
      <c r="A53" s="4">
        <v>9</v>
      </c>
      <c r="B53" s="3" t="s">
        <v>15</v>
      </c>
      <c r="C53" s="5">
        <f t="shared" si="1"/>
        <v>0</v>
      </c>
      <c r="D53" s="5">
        <v>0</v>
      </c>
      <c r="E53" s="5">
        <v>0</v>
      </c>
      <c r="F53" s="5">
        <v>0</v>
      </c>
    </row>
    <row r="54" spans="1:6" x14ac:dyDescent="0.3">
      <c r="A54" s="4">
        <v>10</v>
      </c>
      <c r="B54" s="3" t="s">
        <v>13</v>
      </c>
      <c r="C54" s="5">
        <f t="shared" si="1"/>
        <v>0</v>
      </c>
      <c r="D54" s="5">
        <v>0</v>
      </c>
      <c r="E54" s="5">
        <v>0</v>
      </c>
      <c r="F54" s="5">
        <v>0</v>
      </c>
    </row>
    <row r="55" spans="1:6" x14ac:dyDescent="0.3">
      <c r="A55" s="24" t="s">
        <v>4</v>
      </c>
      <c r="B55" s="25"/>
      <c r="C55" s="7">
        <f>SUM(C46:C54)</f>
        <v>864200</v>
      </c>
      <c r="D55" s="7">
        <f>SUM(D46:D54)</f>
        <v>304400</v>
      </c>
      <c r="E55" s="7">
        <f>SUM(E46:E54)</f>
        <v>281900</v>
      </c>
      <c r="F55" s="7">
        <f>SUM(F46:F54)</f>
        <v>277900</v>
      </c>
    </row>
    <row r="57" spans="1:6" x14ac:dyDescent="0.3">
      <c r="A57" s="1" t="s">
        <v>16</v>
      </c>
    </row>
    <row r="58" spans="1:6" x14ac:dyDescent="0.3">
      <c r="B58" s="1" t="s">
        <v>17</v>
      </c>
    </row>
    <row r="59" spans="1:6" x14ac:dyDescent="0.3">
      <c r="B59" s="1" t="s">
        <v>17</v>
      </c>
    </row>
    <row r="63" spans="1:6" x14ac:dyDescent="0.3">
      <c r="A63" s="20" t="s">
        <v>41</v>
      </c>
      <c r="B63" s="20"/>
      <c r="C63" s="20"/>
      <c r="D63" s="1" t="s">
        <v>18</v>
      </c>
      <c r="E63" s="20" t="s">
        <v>48</v>
      </c>
      <c r="F63" s="20"/>
    </row>
    <row r="64" spans="1:6" x14ac:dyDescent="0.3">
      <c r="B64" s="11" t="s">
        <v>32</v>
      </c>
      <c r="D64" s="20" t="s">
        <v>33</v>
      </c>
      <c r="E64" s="20"/>
    </row>
    <row r="65" spans="1:6" x14ac:dyDescent="0.3">
      <c r="A65" s="20" t="s">
        <v>19</v>
      </c>
      <c r="B65" s="20"/>
      <c r="C65" s="20"/>
      <c r="D65" s="1" t="s">
        <v>20</v>
      </c>
    </row>
    <row r="75" spans="1:6" x14ac:dyDescent="0.3">
      <c r="A75" s="23" t="s">
        <v>31</v>
      </c>
      <c r="B75" s="23"/>
      <c r="C75" s="23"/>
      <c r="D75" s="23"/>
      <c r="E75" s="23"/>
      <c r="F75" s="23"/>
    </row>
    <row r="76" spans="1:6" x14ac:dyDescent="0.3">
      <c r="A76" s="23" t="s">
        <v>0</v>
      </c>
      <c r="B76" s="23"/>
      <c r="C76" s="23"/>
      <c r="D76" s="23"/>
      <c r="E76" s="23"/>
      <c r="F76" s="23"/>
    </row>
    <row r="77" spans="1:6" x14ac:dyDescent="0.3">
      <c r="A77" s="23" t="s">
        <v>34</v>
      </c>
      <c r="B77" s="23"/>
      <c r="C77" s="23"/>
      <c r="D77" s="23"/>
      <c r="E77" s="23"/>
      <c r="F77" s="23"/>
    </row>
    <row r="78" spans="1:6" x14ac:dyDescent="0.3">
      <c r="A78" s="23" t="s">
        <v>37</v>
      </c>
      <c r="B78" s="23"/>
      <c r="C78" s="23"/>
      <c r="D78" s="23"/>
      <c r="E78" s="23"/>
      <c r="F78" s="23"/>
    </row>
    <row r="80" spans="1:6" x14ac:dyDescent="0.3">
      <c r="A80" s="21" t="s">
        <v>1</v>
      </c>
      <c r="B80" s="21" t="s">
        <v>2</v>
      </c>
      <c r="C80" s="22" t="s">
        <v>3</v>
      </c>
      <c r="D80" s="22"/>
      <c r="E80" s="22"/>
      <c r="F80" s="22"/>
    </row>
    <row r="81" spans="1:10" x14ac:dyDescent="0.3">
      <c r="A81" s="21"/>
      <c r="B81" s="21"/>
      <c r="C81" s="12" t="s">
        <v>4</v>
      </c>
      <c r="D81" s="12" t="s">
        <v>26</v>
      </c>
      <c r="E81" s="12" t="s">
        <v>27</v>
      </c>
      <c r="F81" s="12" t="s">
        <v>28</v>
      </c>
    </row>
    <row r="82" spans="1:10" x14ac:dyDescent="0.3">
      <c r="A82" s="4">
        <v>1</v>
      </c>
      <c r="B82" s="3" t="s">
        <v>8</v>
      </c>
      <c r="C82" s="3"/>
      <c r="D82" s="3"/>
      <c r="E82" s="3"/>
      <c r="F82" s="3"/>
    </row>
    <row r="83" spans="1:10" x14ac:dyDescent="0.3">
      <c r="A83" s="4">
        <v>2</v>
      </c>
      <c r="B83" s="3" t="s">
        <v>47</v>
      </c>
      <c r="C83" s="5">
        <f t="shared" ref="C83:C91" si="2">D83+E83+F83</f>
        <v>0</v>
      </c>
      <c r="D83" s="5"/>
      <c r="E83" s="5"/>
      <c r="F83" s="5"/>
      <c r="I83" s="14">
        <v>1500000</v>
      </c>
      <c r="J83" s="14"/>
    </row>
    <row r="84" spans="1:10" x14ac:dyDescent="0.3">
      <c r="A84" s="4">
        <v>3</v>
      </c>
      <c r="B84" s="3" t="s">
        <v>44</v>
      </c>
      <c r="C84" s="5">
        <f t="shared" si="2"/>
        <v>800760</v>
      </c>
      <c r="D84" s="5">
        <v>266920</v>
      </c>
      <c r="E84" s="5">
        <v>266920</v>
      </c>
      <c r="F84" s="5">
        <v>266920</v>
      </c>
      <c r="I84" s="14">
        <v>1601520</v>
      </c>
      <c r="J84" s="14"/>
    </row>
    <row r="85" spans="1:10" x14ac:dyDescent="0.3">
      <c r="A85" s="4">
        <v>4</v>
      </c>
      <c r="B85" s="3" t="s">
        <v>9</v>
      </c>
      <c r="C85" s="5">
        <f t="shared" si="2"/>
        <v>39500</v>
      </c>
      <c r="D85" s="5">
        <f>2000+10000</f>
        <v>12000</v>
      </c>
      <c r="E85" s="5">
        <f>10000+7500</f>
        <v>17500</v>
      </c>
      <c r="F85" s="5">
        <v>10000</v>
      </c>
      <c r="I85" s="16">
        <f>SUM(I83:I84)</f>
        <v>3101520</v>
      </c>
      <c r="J85" s="16"/>
    </row>
    <row r="86" spans="1:10" x14ac:dyDescent="0.3">
      <c r="A86" s="4">
        <v>5</v>
      </c>
      <c r="B86" s="3" t="s">
        <v>10</v>
      </c>
      <c r="C86" s="5">
        <f t="shared" si="2"/>
        <v>376000</v>
      </c>
      <c r="D86" s="5">
        <f>7000+334000+2000</f>
        <v>343000</v>
      </c>
      <c r="E86" s="5">
        <f>7000+2000</f>
        <v>9000</v>
      </c>
      <c r="F86" s="5">
        <f>7000+15000+2000</f>
        <v>24000</v>
      </c>
    </row>
    <row r="87" spans="1:10" x14ac:dyDescent="0.3">
      <c r="A87" s="4">
        <v>6</v>
      </c>
      <c r="B87" s="3" t="s">
        <v>11</v>
      </c>
      <c r="C87" s="5">
        <f t="shared" si="2"/>
        <v>46200</v>
      </c>
      <c r="D87" s="5">
        <f>20000+5000+400+10000+5000</f>
        <v>40400</v>
      </c>
      <c r="E87" s="5">
        <f>400+5000</f>
        <v>5400</v>
      </c>
      <c r="F87" s="5">
        <v>400</v>
      </c>
    </row>
    <row r="88" spans="1:10" x14ac:dyDescent="0.3">
      <c r="A88" s="4">
        <v>7</v>
      </c>
      <c r="B88" s="3" t="s">
        <v>12</v>
      </c>
      <c r="C88" s="5">
        <f t="shared" si="2"/>
        <v>22500</v>
      </c>
      <c r="D88" s="5">
        <v>7500</v>
      </c>
      <c r="E88" s="5">
        <v>7500</v>
      </c>
      <c r="F88" s="5">
        <v>7500</v>
      </c>
    </row>
    <row r="89" spans="1:10" x14ac:dyDescent="0.3">
      <c r="A89" s="4">
        <v>8</v>
      </c>
      <c r="B89" s="3" t="s">
        <v>14</v>
      </c>
      <c r="C89" s="5">
        <f t="shared" si="2"/>
        <v>51600</v>
      </c>
      <c r="D89" s="5">
        <v>0</v>
      </c>
      <c r="E89" s="5">
        <v>51600</v>
      </c>
      <c r="F89" s="5">
        <v>0</v>
      </c>
    </row>
    <row r="90" spans="1:10" x14ac:dyDescent="0.3">
      <c r="A90" s="4">
        <v>9</v>
      </c>
      <c r="B90" s="3" t="s">
        <v>15</v>
      </c>
      <c r="C90" s="5">
        <f t="shared" si="2"/>
        <v>0</v>
      </c>
      <c r="D90" s="5">
        <v>0</v>
      </c>
      <c r="E90" s="5">
        <v>0</v>
      </c>
      <c r="F90" s="5">
        <v>0</v>
      </c>
    </row>
    <row r="91" spans="1:10" x14ac:dyDescent="0.3">
      <c r="A91" s="4">
        <v>10</v>
      </c>
      <c r="B91" s="3" t="s">
        <v>13</v>
      </c>
      <c r="C91" s="5">
        <f t="shared" si="2"/>
        <v>0</v>
      </c>
      <c r="D91" s="5">
        <v>0</v>
      </c>
      <c r="E91" s="5">
        <v>0</v>
      </c>
      <c r="F91" s="5">
        <v>0</v>
      </c>
    </row>
    <row r="92" spans="1:10" x14ac:dyDescent="0.3">
      <c r="A92" s="24" t="s">
        <v>4</v>
      </c>
      <c r="B92" s="25"/>
      <c r="C92" s="7">
        <f>SUM(C83:C91)</f>
        <v>1336560</v>
      </c>
      <c r="D92" s="7">
        <f>SUM(D83:D91)</f>
        <v>669820</v>
      </c>
      <c r="E92" s="7">
        <f>SUM(E83:E91)</f>
        <v>357920</v>
      </c>
      <c r="F92" s="7">
        <f>SUM(F83:F91)</f>
        <v>308820</v>
      </c>
    </row>
    <row r="94" spans="1:10" x14ac:dyDescent="0.3">
      <c r="A94" s="1" t="s">
        <v>16</v>
      </c>
    </row>
    <row r="95" spans="1:10" x14ac:dyDescent="0.3">
      <c r="B95" s="1" t="s">
        <v>17</v>
      </c>
    </row>
    <row r="96" spans="1:10" x14ac:dyDescent="0.3">
      <c r="B96" s="1" t="s">
        <v>17</v>
      </c>
    </row>
    <row r="100" spans="1:6" x14ac:dyDescent="0.3">
      <c r="A100" s="20" t="s">
        <v>41</v>
      </c>
      <c r="B100" s="20"/>
      <c r="C100" s="20"/>
      <c r="D100" s="1" t="s">
        <v>18</v>
      </c>
      <c r="E100" s="20" t="s">
        <v>48</v>
      </c>
      <c r="F100" s="20"/>
    </row>
    <row r="101" spans="1:6" x14ac:dyDescent="0.3">
      <c r="B101" s="11" t="s">
        <v>32</v>
      </c>
      <c r="D101" s="20" t="s">
        <v>33</v>
      </c>
      <c r="E101" s="20"/>
    </row>
    <row r="102" spans="1:6" x14ac:dyDescent="0.3">
      <c r="A102" s="20" t="s">
        <v>19</v>
      </c>
      <c r="B102" s="20"/>
      <c r="C102" s="20"/>
      <c r="D102" s="1" t="s">
        <v>20</v>
      </c>
    </row>
    <row r="112" spans="1:6" x14ac:dyDescent="0.3">
      <c r="A112" s="23" t="s">
        <v>31</v>
      </c>
      <c r="B112" s="23"/>
      <c r="C112" s="23"/>
      <c r="D112" s="23"/>
      <c r="E112" s="23"/>
      <c r="F112" s="23"/>
    </row>
    <row r="113" spans="1:6" x14ac:dyDescent="0.3">
      <c r="A113" s="23" t="s">
        <v>0</v>
      </c>
      <c r="B113" s="23"/>
      <c r="C113" s="23"/>
      <c r="D113" s="23"/>
      <c r="E113" s="23"/>
      <c r="F113" s="23"/>
    </row>
    <row r="114" spans="1:6" x14ac:dyDescent="0.3">
      <c r="A114" s="23" t="s">
        <v>34</v>
      </c>
      <c r="B114" s="23"/>
      <c r="C114" s="23"/>
      <c r="D114" s="23"/>
      <c r="E114" s="23"/>
      <c r="F114" s="23"/>
    </row>
    <row r="115" spans="1:6" x14ac:dyDescent="0.3">
      <c r="A115" s="23" t="s">
        <v>38</v>
      </c>
      <c r="B115" s="23"/>
      <c r="C115" s="23"/>
      <c r="D115" s="23"/>
      <c r="E115" s="23"/>
      <c r="F115" s="23"/>
    </row>
    <row r="117" spans="1:6" x14ac:dyDescent="0.3">
      <c r="A117" s="21" t="s">
        <v>1</v>
      </c>
      <c r="B117" s="21" t="s">
        <v>2</v>
      </c>
      <c r="C117" s="22" t="s">
        <v>3</v>
      </c>
      <c r="D117" s="22"/>
      <c r="E117" s="22"/>
      <c r="F117" s="22"/>
    </row>
    <row r="118" spans="1:6" x14ac:dyDescent="0.3">
      <c r="A118" s="21"/>
      <c r="B118" s="21"/>
      <c r="C118" s="12" t="s">
        <v>4</v>
      </c>
      <c r="D118" s="12" t="s">
        <v>46</v>
      </c>
      <c r="E118" s="12" t="s">
        <v>29</v>
      </c>
      <c r="F118" s="12" t="s">
        <v>30</v>
      </c>
    </row>
    <row r="119" spans="1:6" x14ac:dyDescent="0.3">
      <c r="A119" s="4">
        <v>1</v>
      </c>
      <c r="B119" s="3" t="s">
        <v>8</v>
      </c>
      <c r="C119" s="3"/>
      <c r="D119" s="3"/>
      <c r="E119" s="3"/>
      <c r="F119" s="3"/>
    </row>
    <row r="120" spans="1:6" x14ac:dyDescent="0.3">
      <c r="A120" s="4">
        <v>2</v>
      </c>
      <c r="B120" s="3" t="s">
        <v>47</v>
      </c>
      <c r="C120" s="5">
        <f t="shared" ref="C120:C128" si="3">D120+E120+F120</f>
        <v>0</v>
      </c>
      <c r="D120" s="5"/>
      <c r="E120" s="5"/>
      <c r="F120" s="5"/>
    </row>
    <row r="121" spans="1:6" x14ac:dyDescent="0.3">
      <c r="A121" s="4">
        <v>3</v>
      </c>
      <c r="B121" s="3" t="s">
        <v>44</v>
      </c>
      <c r="C121" s="5">
        <f t="shared" si="3"/>
        <v>800760</v>
      </c>
      <c r="D121" s="5">
        <v>266920</v>
      </c>
      <c r="E121" s="5">
        <v>266920</v>
      </c>
      <c r="F121" s="5">
        <v>266920</v>
      </c>
    </row>
    <row r="122" spans="1:6" x14ac:dyDescent="0.3">
      <c r="A122" s="4">
        <v>4</v>
      </c>
      <c r="B122" s="3" t="s">
        <v>9</v>
      </c>
      <c r="C122" s="5">
        <f t="shared" si="3"/>
        <v>31000</v>
      </c>
      <c r="D122" s="5">
        <f>1000+10000</f>
        <v>11000</v>
      </c>
      <c r="E122" s="5">
        <v>10000</v>
      </c>
      <c r="F122" s="5">
        <v>10000</v>
      </c>
    </row>
    <row r="123" spans="1:6" x14ac:dyDescent="0.3">
      <c r="A123" s="4">
        <v>5</v>
      </c>
      <c r="B123" s="3" t="s">
        <v>10</v>
      </c>
      <c r="C123" s="5">
        <f t="shared" si="3"/>
        <v>53000</v>
      </c>
      <c r="D123" s="5">
        <f>7000+20000+2000</f>
        <v>29000</v>
      </c>
      <c r="E123" s="5">
        <v>7000</v>
      </c>
      <c r="F123" s="5">
        <f>7000+10000</f>
        <v>17000</v>
      </c>
    </row>
    <row r="124" spans="1:6" x14ac:dyDescent="0.3">
      <c r="A124" s="4">
        <v>6</v>
      </c>
      <c r="B124" s="3" t="s">
        <v>11</v>
      </c>
      <c r="C124" s="5">
        <f t="shared" si="3"/>
        <v>46400</v>
      </c>
      <c r="D124" s="5">
        <f>20000+5000+400+10000+5000</f>
        <v>40400</v>
      </c>
      <c r="E124" s="5">
        <v>500</v>
      </c>
      <c r="F124" s="5">
        <f>500+5000</f>
        <v>5500</v>
      </c>
    </row>
    <row r="125" spans="1:6" x14ac:dyDescent="0.3">
      <c r="A125" s="4">
        <v>7</v>
      </c>
      <c r="B125" s="3" t="s">
        <v>12</v>
      </c>
      <c r="C125" s="5">
        <f t="shared" si="3"/>
        <v>22500</v>
      </c>
      <c r="D125" s="5">
        <v>7500</v>
      </c>
      <c r="E125" s="5">
        <v>7500</v>
      </c>
      <c r="F125" s="5">
        <v>7500</v>
      </c>
    </row>
    <row r="126" spans="1:6" x14ac:dyDescent="0.3">
      <c r="A126" s="4">
        <v>8</v>
      </c>
      <c r="B126" s="3" t="s">
        <v>14</v>
      </c>
      <c r="C126" s="5">
        <f t="shared" si="3"/>
        <v>0</v>
      </c>
      <c r="D126" s="5">
        <v>0</v>
      </c>
      <c r="E126" s="5">
        <v>0</v>
      </c>
      <c r="F126" s="5">
        <v>0</v>
      </c>
    </row>
    <row r="127" spans="1:6" x14ac:dyDescent="0.3">
      <c r="A127" s="4">
        <v>9</v>
      </c>
      <c r="B127" s="3" t="s">
        <v>15</v>
      </c>
      <c r="C127" s="5">
        <f t="shared" si="3"/>
        <v>0</v>
      </c>
      <c r="D127" s="5">
        <v>0</v>
      </c>
      <c r="E127" s="5">
        <v>0</v>
      </c>
      <c r="F127" s="5">
        <v>0</v>
      </c>
    </row>
    <row r="128" spans="1:6" x14ac:dyDescent="0.3">
      <c r="A128" s="4">
        <v>10</v>
      </c>
      <c r="B128" s="3" t="s">
        <v>13</v>
      </c>
      <c r="C128" s="5">
        <f t="shared" si="3"/>
        <v>0</v>
      </c>
      <c r="D128" s="5">
        <v>0</v>
      </c>
      <c r="E128" s="5">
        <v>0</v>
      </c>
      <c r="F128" s="5">
        <v>0</v>
      </c>
    </row>
    <row r="129" spans="1:6" x14ac:dyDescent="0.3">
      <c r="A129" s="24" t="s">
        <v>4</v>
      </c>
      <c r="B129" s="25"/>
      <c r="C129" s="7">
        <f>SUM(C120:C128)</f>
        <v>953660</v>
      </c>
      <c r="D129" s="7">
        <f>SUM(D120:D128)</f>
        <v>354820</v>
      </c>
      <c r="E129" s="7">
        <f>SUM(E120:E128)</f>
        <v>291920</v>
      </c>
      <c r="F129" s="7">
        <f>SUM(F120:F128)</f>
        <v>306920</v>
      </c>
    </row>
    <row r="131" spans="1:6" x14ac:dyDescent="0.3">
      <c r="A131" s="1" t="s">
        <v>16</v>
      </c>
    </row>
    <row r="132" spans="1:6" x14ac:dyDescent="0.3">
      <c r="B132" s="1" t="s">
        <v>17</v>
      </c>
    </row>
    <row r="133" spans="1:6" x14ac:dyDescent="0.3">
      <c r="B133" s="1" t="s">
        <v>17</v>
      </c>
    </row>
    <row r="137" spans="1:6" x14ac:dyDescent="0.3">
      <c r="A137" s="20" t="s">
        <v>41</v>
      </c>
      <c r="B137" s="20"/>
      <c r="C137" s="20"/>
      <c r="D137" s="1" t="s">
        <v>18</v>
      </c>
      <c r="E137" s="20" t="s">
        <v>48</v>
      </c>
      <c r="F137" s="20"/>
    </row>
    <row r="138" spans="1:6" x14ac:dyDescent="0.3">
      <c r="B138" s="11" t="s">
        <v>32</v>
      </c>
      <c r="D138" s="20" t="s">
        <v>33</v>
      </c>
      <c r="E138" s="20"/>
    </row>
    <row r="139" spans="1:6" x14ac:dyDescent="0.3">
      <c r="A139" s="20" t="s">
        <v>19</v>
      </c>
      <c r="B139" s="20"/>
      <c r="C139" s="20"/>
      <c r="D139" s="1" t="s">
        <v>20</v>
      </c>
    </row>
  </sheetData>
  <mergeCells count="48">
    <mergeCell ref="A137:C137"/>
    <mergeCell ref="E26:F26"/>
    <mergeCell ref="E63:F63"/>
    <mergeCell ref="E100:F100"/>
    <mergeCell ref="E137:F137"/>
    <mergeCell ref="A26:C26"/>
    <mergeCell ref="A55:B55"/>
    <mergeCell ref="A92:B92"/>
    <mergeCell ref="A129:B129"/>
    <mergeCell ref="A63:C63"/>
    <mergeCell ref="A100:C100"/>
    <mergeCell ref="A28:C28"/>
    <mergeCell ref="D27:E27"/>
    <mergeCell ref="D64:E64"/>
    <mergeCell ref="A65:C65"/>
    <mergeCell ref="A43:A44"/>
    <mergeCell ref="D138:E138"/>
    <mergeCell ref="A139:C139"/>
    <mergeCell ref="A2:F2"/>
    <mergeCell ref="A1:F1"/>
    <mergeCell ref="C6:F6"/>
    <mergeCell ref="A3:F3"/>
    <mergeCell ref="A4:F4"/>
    <mergeCell ref="A6:A7"/>
    <mergeCell ref="B6:B7"/>
    <mergeCell ref="A76:F76"/>
    <mergeCell ref="A18:B18"/>
    <mergeCell ref="A38:F38"/>
    <mergeCell ref="A39:F39"/>
    <mergeCell ref="A40:F40"/>
    <mergeCell ref="A41:F41"/>
    <mergeCell ref="A75:F75"/>
    <mergeCell ref="B43:B44"/>
    <mergeCell ref="C43:F43"/>
    <mergeCell ref="A77:F77"/>
    <mergeCell ref="A78:F78"/>
    <mergeCell ref="A80:A81"/>
    <mergeCell ref="B80:B81"/>
    <mergeCell ref="C80:F80"/>
    <mergeCell ref="D101:E101"/>
    <mergeCell ref="A102:C102"/>
    <mergeCell ref="A117:A118"/>
    <mergeCell ref="B117:B118"/>
    <mergeCell ref="C117:F117"/>
    <mergeCell ref="A112:F112"/>
    <mergeCell ref="A113:F113"/>
    <mergeCell ref="A114:F114"/>
    <mergeCell ref="A115:F115"/>
  </mergeCells>
  <pageMargins left="0.5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30" zoomScale="130" zoomScaleNormal="130" workbookViewId="0">
      <selection activeCell="C145" sqref="C145"/>
    </sheetView>
  </sheetViews>
  <sheetFormatPr defaultColWidth="9.140625" defaultRowHeight="15" x14ac:dyDescent="0.3"/>
  <cols>
    <col min="1" max="1" width="6.28515625" style="1" customWidth="1"/>
    <col min="2" max="2" width="21.7109375" style="1" customWidth="1"/>
    <col min="3" max="3" width="17.5703125" style="1" customWidth="1"/>
    <col min="4" max="4" width="17" style="1" customWidth="1"/>
    <col min="5" max="5" width="15.7109375" style="1" customWidth="1"/>
    <col min="6" max="6" width="15.28515625" style="1" customWidth="1"/>
    <col min="7" max="10" width="9.140625" style="1"/>
    <col min="11" max="12" width="18.140625" style="1" customWidth="1"/>
    <col min="13" max="16384" width="9.140625" style="1"/>
  </cols>
  <sheetData>
    <row r="1" spans="1:12" ht="20.25" x14ac:dyDescent="0.3">
      <c r="A1" s="23" t="s">
        <v>39</v>
      </c>
      <c r="B1" s="23"/>
      <c r="C1" s="23"/>
      <c r="D1" s="23"/>
      <c r="E1" s="23"/>
      <c r="F1" s="23"/>
      <c r="G1" s="27">
        <f>C18+C57+C95+C133</f>
        <v>14788354</v>
      </c>
      <c r="H1" s="28"/>
      <c r="I1" s="28"/>
    </row>
    <row r="2" spans="1:12" ht="20.25" x14ac:dyDescent="0.3">
      <c r="A2" s="23" t="s">
        <v>0</v>
      </c>
      <c r="B2" s="23"/>
      <c r="C2" s="23"/>
      <c r="D2" s="23"/>
      <c r="E2" s="23"/>
      <c r="F2" s="23"/>
      <c r="H2" s="29"/>
      <c r="I2" s="29"/>
      <c r="K2" s="14">
        <v>4182567</v>
      </c>
      <c r="L2" s="14">
        <v>3685740</v>
      </c>
    </row>
    <row r="3" spans="1:12" ht="20.25" x14ac:dyDescent="0.3">
      <c r="A3" s="23" t="s">
        <v>34</v>
      </c>
      <c r="B3" s="23"/>
      <c r="C3" s="23"/>
      <c r="D3" s="23"/>
      <c r="E3" s="23"/>
      <c r="F3" s="23"/>
      <c r="H3" s="1">
        <v>1</v>
      </c>
      <c r="I3" s="1">
        <v>2</v>
      </c>
      <c r="J3" s="1">
        <v>3</v>
      </c>
      <c r="K3" s="14">
        <v>4646464</v>
      </c>
      <c r="L3" s="14">
        <v>4342806</v>
      </c>
    </row>
    <row r="4" spans="1:12" ht="20.25" x14ac:dyDescent="0.3">
      <c r="A4" s="23" t="s">
        <v>35</v>
      </c>
      <c r="B4" s="23"/>
      <c r="C4" s="23"/>
      <c r="D4" s="23"/>
      <c r="E4" s="23"/>
      <c r="F4" s="23"/>
      <c r="K4" s="14">
        <v>5829662</v>
      </c>
      <c r="L4" s="15">
        <v>10184331</v>
      </c>
    </row>
    <row r="5" spans="1:12" ht="20.25" x14ac:dyDescent="0.3">
      <c r="K5" s="14">
        <v>3554184</v>
      </c>
    </row>
    <row r="6" spans="1:12" ht="20.25" x14ac:dyDescent="0.3">
      <c r="A6" s="21" t="s">
        <v>1</v>
      </c>
      <c r="B6" s="21" t="s">
        <v>2</v>
      </c>
      <c r="C6" s="22" t="s">
        <v>3</v>
      </c>
      <c r="D6" s="22"/>
      <c r="E6" s="22"/>
      <c r="F6" s="22"/>
      <c r="K6" s="13">
        <f>SUM(K2:K5)</f>
        <v>18212877</v>
      </c>
      <c r="L6" s="16">
        <f>SUM(L2:L5)</f>
        <v>18212877</v>
      </c>
    </row>
    <row r="7" spans="1:12" ht="20.25" x14ac:dyDescent="0.3">
      <c r="A7" s="21"/>
      <c r="B7" s="21"/>
      <c r="C7" s="19" t="s">
        <v>4</v>
      </c>
      <c r="D7" s="19" t="s">
        <v>5</v>
      </c>
      <c r="E7" s="19" t="s">
        <v>6</v>
      </c>
      <c r="F7" s="19" t="s">
        <v>7</v>
      </c>
      <c r="K7" s="14"/>
    </row>
    <row r="8" spans="1:12" ht="20.25" x14ac:dyDescent="0.3">
      <c r="A8" s="4">
        <v>1</v>
      </c>
      <c r="B8" s="3" t="s">
        <v>8</v>
      </c>
      <c r="C8" s="8">
        <f>D8+E8+F8</f>
        <v>6278987</v>
      </c>
      <c r="D8" s="9">
        <v>1879589</v>
      </c>
      <c r="E8" s="9">
        <v>1879589</v>
      </c>
      <c r="F8" s="9">
        <v>2519809</v>
      </c>
      <c r="K8" s="14"/>
    </row>
    <row r="9" spans="1:12" ht="20.25" x14ac:dyDescent="0.3">
      <c r="A9" s="4">
        <v>2</v>
      </c>
      <c r="B9" s="3" t="s">
        <v>43</v>
      </c>
      <c r="C9" s="8">
        <f t="shared" ref="C9:C16" si="0">D9+E9+F9</f>
        <v>750780</v>
      </c>
      <c r="D9" s="9">
        <v>250260</v>
      </c>
      <c r="E9" s="9">
        <v>250260</v>
      </c>
      <c r="F9" s="9">
        <v>250260</v>
      </c>
      <c r="K9" s="14"/>
    </row>
    <row r="10" spans="1:12" ht="20.25" x14ac:dyDescent="0.3">
      <c r="A10" s="4">
        <v>3</v>
      </c>
      <c r="B10" s="3" t="s">
        <v>44</v>
      </c>
      <c r="C10" s="8">
        <f>D10+E10+F10</f>
        <v>4171769</v>
      </c>
      <c r="D10" s="9">
        <f>147645+119569+114075+335312+250000+394880+29110</f>
        <v>1390591</v>
      </c>
      <c r="E10" s="9">
        <f>147645+119567+114075+335312+250000+394880+29110</f>
        <v>1390589</v>
      </c>
      <c r="F10" s="9">
        <f>147645+119567+114075+335312+250000+394880+29110</f>
        <v>1390589</v>
      </c>
      <c r="J10" s="1">
        <v>0</v>
      </c>
      <c r="K10" s="14"/>
    </row>
    <row r="11" spans="1:12" ht="20.25" x14ac:dyDescent="0.3">
      <c r="A11" s="4">
        <v>4</v>
      </c>
      <c r="B11" s="3" t="s">
        <v>9</v>
      </c>
      <c r="C11" s="8">
        <f t="shared" si="0"/>
        <v>597754</v>
      </c>
      <c r="D11" s="9">
        <f>10085+9168+5000+10000+174000</f>
        <v>208253</v>
      </c>
      <c r="E11" s="9">
        <f>10085+9168+14600+27400+10000+174000</f>
        <v>245253</v>
      </c>
      <c r="F11" s="9">
        <f>10080+9168+5000+56000+64000</f>
        <v>144248</v>
      </c>
      <c r="K11" s="14"/>
    </row>
    <row r="12" spans="1:12" ht="20.25" x14ac:dyDescent="0.3">
      <c r="A12" s="4">
        <v>5</v>
      </c>
      <c r="B12" s="3" t="s">
        <v>10</v>
      </c>
      <c r="C12" s="8">
        <f t="shared" si="0"/>
        <v>1646523</v>
      </c>
      <c r="D12" s="9">
        <f>38340+79337+12000+106840+9000+298000+7000+3000</f>
        <v>553517</v>
      </c>
      <c r="E12" s="9">
        <f>38330+79333+20000+106840+50000+24000+298000+7000+3000</f>
        <v>626503</v>
      </c>
      <c r="F12" s="9">
        <f>38330+79333+10000+30000+10000+126840+50000+29000+53000+7000+3000+30000</f>
        <v>466503</v>
      </c>
    </row>
    <row r="13" spans="1:12" ht="20.25" x14ac:dyDescent="0.3">
      <c r="A13" s="4">
        <v>6</v>
      </c>
      <c r="B13" s="3" t="s">
        <v>11</v>
      </c>
      <c r="C13" s="8">
        <f t="shared" si="0"/>
        <v>634391</v>
      </c>
      <c r="D13" s="8">
        <f>9000+16000+8000+112654+30400+8500+4000</f>
        <v>188554</v>
      </c>
      <c r="E13" s="8">
        <f>8000+16000+8000+122654+400+8500+4000</f>
        <v>167554</v>
      </c>
      <c r="F13" s="8">
        <f>9000+16000+8000+10000+129383+25400+76500+4000</f>
        <v>278283</v>
      </c>
    </row>
    <row r="14" spans="1:12" ht="20.25" x14ac:dyDescent="0.3">
      <c r="A14" s="4">
        <v>7</v>
      </c>
      <c r="B14" s="3" t="s">
        <v>12</v>
      </c>
      <c r="C14" s="8">
        <f t="shared" si="0"/>
        <v>115350</v>
      </c>
      <c r="D14" s="9">
        <f>4000+7500+27100</f>
        <v>38600</v>
      </c>
      <c r="E14" s="9">
        <f>4000+7500+27300</f>
        <v>38800</v>
      </c>
      <c r="F14" s="9">
        <f>4000+7500+26450</f>
        <v>37950</v>
      </c>
    </row>
    <row r="15" spans="1:12" ht="20.25" x14ac:dyDescent="0.3">
      <c r="A15" s="4">
        <v>8</v>
      </c>
      <c r="B15" s="3" t="s">
        <v>14</v>
      </c>
      <c r="C15" s="8">
        <f t="shared" si="0"/>
        <v>0</v>
      </c>
      <c r="D15" s="8">
        <v>0</v>
      </c>
      <c r="E15" s="8">
        <v>0</v>
      </c>
      <c r="F15" s="8">
        <v>0</v>
      </c>
    </row>
    <row r="16" spans="1:12" ht="20.25" x14ac:dyDescent="0.3">
      <c r="A16" s="4">
        <v>9</v>
      </c>
      <c r="B16" s="3" t="s">
        <v>15</v>
      </c>
      <c r="C16" s="8">
        <f t="shared" si="0"/>
        <v>0</v>
      </c>
      <c r="D16" s="8">
        <v>0</v>
      </c>
      <c r="E16" s="8">
        <v>0</v>
      </c>
      <c r="F16" s="9">
        <v>0</v>
      </c>
    </row>
    <row r="17" spans="1:6" ht="20.25" x14ac:dyDescent="0.3">
      <c r="A17" s="4">
        <v>10</v>
      </c>
      <c r="B17" s="10" t="s">
        <v>13</v>
      </c>
      <c r="C17" s="8">
        <f>D17+E17+F17</f>
        <v>592800</v>
      </c>
      <c r="D17" s="8">
        <v>10000</v>
      </c>
      <c r="E17" s="8">
        <v>10000</v>
      </c>
      <c r="F17" s="9">
        <f>562800+10000</f>
        <v>572800</v>
      </c>
    </row>
    <row r="18" spans="1:6" ht="20.25" x14ac:dyDescent="0.3">
      <c r="A18" s="24" t="s">
        <v>4</v>
      </c>
      <c r="B18" s="25"/>
      <c r="C18" s="8">
        <f>SUM(C8:C17)</f>
        <v>14788354</v>
      </c>
      <c r="D18" s="8">
        <f>SUM(D8:D17)</f>
        <v>4519364</v>
      </c>
      <c r="E18" s="8">
        <f>SUM(E8:E17)</f>
        <v>4608548</v>
      </c>
      <c r="F18" s="8">
        <f>SUM(F8:F17)</f>
        <v>5660442</v>
      </c>
    </row>
    <row r="20" spans="1:6" ht="20.25" x14ac:dyDescent="0.3">
      <c r="A20" s="1" t="s">
        <v>49</v>
      </c>
    </row>
    <row r="21" spans="1:6" ht="20.25" x14ac:dyDescent="0.3">
      <c r="B21" s="1" t="s">
        <v>51</v>
      </c>
    </row>
    <row r="22" spans="1:6" ht="20.25" x14ac:dyDescent="0.3">
      <c r="B22" s="1" t="s">
        <v>50</v>
      </c>
    </row>
    <row r="26" spans="1:6" ht="20.25" x14ac:dyDescent="0.3">
      <c r="A26" s="26" t="s">
        <v>41</v>
      </c>
      <c r="B26" s="26"/>
      <c r="C26" s="26"/>
      <c r="D26" s="1" t="s">
        <v>40</v>
      </c>
    </row>
    <row r="27" spans="1:6" ht="20.25" x14ac:dyDescent="0.3">
      <c r="A27" s="26" t="s">
        <v>21</v>
      </c>
      <c r="B27" s="26"/>
      <c r="C27" s="26"/>
      <c r="D27" s="1" t="s">
        <v>22</v>
      </c>
    </row>
    <row r="28" spans="1:6" ht="20.25" x14ac:dyDescent="0.3">
      <c r="A28" s="26" t="s">
        <v>42</v>
      </c>
      <c r="B28" s="26"/>
      <c r="C28" s="26"/>
      <c r="D28" s="1" t="s">
        <v>20</v>
      </c>
    </row>
    <row r="39" spans="1:10" ht="20.25" x14ac:dyDescent="0.3">
      <c r="A39" s="23" t="s">
        <v>39</v>
      </c>
      <c r="B39" s="23"/>
      <c r="C39" s="23"/>
      <c r="D39" s="23"/>
      <c r="E39" s="23"/>
      <c r="F39" s="23"/>
      <c r="G39" s="27">
        <f>C56+C94+C132+C169</f>
        <v>44511646</v>
      </c>
      <c r="H39" s="28"/>
      <c r="I39" s="28"/>
    </row>
    <row r="40" spans="1:10" ht="20.25" x14ac:dyDescent="0.3">
      <c r="A40" s="23" t="s">
        <v>0</v>
      </c>
      <c r="B40" s="23"/>
      <c r="C40" s="23"/>
      <c r="D40" s="23"/>
      <c r="E40" s="23"/>
      <c r="F40" s="23"/>
      <c r="H40" s="29"/>
      <c r="I40" s="29"/>
    </row>
    <row r="41" spans="1:10" ht="20.25" x14ac:dyDescent="0.3">
      <c r="A41" s="23" t="s">
        <v>34</v>
      </c>
      <c r="B41" s="23"/>
      <c r="C41" s="23"/>
      <c r="D41" s="23"/>
      <c r="E41" s="23"/>
      <c r="F41" s="23"/>
      <c r="H41" s="1">
        <v>1</v>
      </c>
      <c r="I41" s="1">
        <v>2</v>
      </c>
      <c r="J41" s="1">
        <v>3</v>
      </c>
    </row>
    <row r="42" spans="1:10" ht="20.25" x14ac:dyDescent="0.3">
      <c r="A42" s="23" t="s">
        <v>36</v>
      </c>
      <c r="B42" s="23"/>
      <c r="C42" s="23"/>
      <c r="D42" s="23"/>
      <c r="E42" s="23"/>
      <c r="F42" s="23"/>
    </row>
    <row r="44" spans="1:10" ht="20.25" x14ac:dyDescent="0.3">
      <c r="A44" s="21" t="s">
        <v>1</v>
      </c>
      <c r="B44" s="21" t="s">
        <v>2</v>
      </c>
      <c r="C44" s="22" t="s">
        <v>3</v>
      </c>
      <c r="D44" s="22"/>
      <c r="E44" s="22"/>
      <c r="F44" s="22"/>
    </row>
    <row r="45" spans="1:10" ht="20.25" x14ac:dyDescent="0.3">
      <c r="A45" s="21"/>
      <c r="B45" s="21"/>
      <c r="C45" s="19" t="s">
        <v>4</v>
      </c>
      <c r="D45" s="19" t="s">
        <v>23</v>
      </c>
      <c r="E45" s="19" t="s">
        <v>24</v>
      </c>
      <c r="F45" s="19" t="s">
        <v>25</v>
      </c>
    </row>
    <row r="46" spans="1:10" ht="20.25" x14ac:dyDescent="0.3">
      <c r="A46" s="4">
        <v>1</v>
      </c>
      <c r="B46" s="3" t="s">
        <v>8</v>
      </c>
      <c r="C46" s="8">
        <f>D46+E46+F46</f>
        <v>5639267</v>
      </c>
      <c r="D46" s="9">
        <v>1879589</v>
      </c>
      <c r="E46" s="9">
        <v>1879589</v>
      </c>
      <c r="F46" s="9">
        <v>1880089</v>
      </c>
    </row>
    <row r="47" spans="1:10" ht="20.25" x14ac:dyDescent="0.3">
      <c r="A47" s="4">
        <v>2</v>
      </c>
      <c r="B47" s="3" t="s">
        <v>43</v>
      </c>
      <c r="C47" s="8">
        <f t="shared" ref="C47" si="1">D47+E47+F47</f>
        <v>750780</v>
      </c>
      <c r="D47" s="9">
        <v>250260</v>
      </c>
      <c r="E47" s="9">
        <v>250260</v>
      </c>
      <c r="F47" s="9">
        <v>250260</v>
      </c>
    </row>
    <row r="48" spans="1:10" ht="20.25" x14ac:dyDescent="0.3">
      <c r="A48" s="4">
        <v>3</v>
      </c>
      <c r="B48" s="3" t="s">
        <v>44</v>
      </c>
      <c r="C48" s="8">
        <f>D48+E48+F48</f>
        <v>4171767</v>
      </c>
      <c r="D48" s="9">
        <f>147645+119567+114075+335312+250000+394880+29110</f>
        <v>1390589</v>
      </c>
      <c r="E48" s="9">
        <f>147645+119567+114075+335312+250000+394880+29110</f>
        <v>1390589</v>
      </c>
      <c r="F48" s="9">
        <f>147645+119567+114075+335312+250000+394880+29110</f>
        <v>1390589</v>
      </c>
    </row>
    <row r="49" spans="1:6" ht="20.25" x14ac:dyDescent="0.3">
      <c r="A49" s="4">
        <v>4</v>
      </c>
      <c r="B49" s="3" t="s">
        <v>9</v>
      </c>
      <c r="C49" s="8">
        <f t="shared" ref="C49:C55" si="2">D49+E49+F49</f>
        <v>183250</v>
      </c>
      <c r="D49" s="9">
        <f>10085+9168+5000+17500+24000</f>
        <v>65753</v>
      </c>
      <c r="E49" s="9">
        <f>10085+9166+5000+10000+24000</f>
        <v>58251</v>
      </c>
      <c r="F49" s="9">
        <f>10080+9166+5000+11000+24000</f>
        <v>59246</v>
      </c>
    </row>
    <row r="50" spans="1:6" ht="20.25" x14ac:dyDescent="0.3">
      <c r="A50" s="4">
        <v>5</v>
      </c>
      <c r="B50" s="3" t="s">
        <v>10</v>
      </c>
      <c r="C50" s="8">
        <f t="shared" si="2"/>
        <v>1543519</v>
      </c>
      <c r="D50" s="9">
        <f>38340+79333+15000+15000+106840+9000+73000+7000+3000+15000</f>
        <v>361513</v>
      </c>
      <c r="E50" s="9">
        <f>38330+79333+50000+15000+106840+40000+30000+9000+73000+7000+30000+3000</f>
        <v>481503</v>
      </c>
      <c r="F50" s="9">
        <f>38330+79333+80000+20000+365840+9000+98000+7000+3000</f>
        <v>700503</v>
      </c>
    </row>
    <row r="51" spans="1:6" ht="20.25" x14ac:dyDescent="0.3">
      <c r="A51" s="4">
        <v>6</v>
      </c>
      <c r="B51" s="3" t="s">
        <v>11</v>
      </c>
      <c r="C51" s="8">
        <f t="shared" si="2"/>
        <v>632298</v>
      </c>
      <c r="D51" s="8">
        <f>9000+16000+13000+112654+20400+44500+2500+4000</f>
        <v>222054</v>
      </c>
      <c r="E51" s="8">
        <f>12000+16000+8000+5000+127290+5400+8500+4000</f>
        <v>186190</v>
      </c>
      <c r="F51" s="8">
        <f>9000+16000+12000+5000+118654+400+58500+4500</f>
        <v>224054</v>
      </c>
    </row>
    <row r="52" spans="1:6" ht="20.25" x14ac:dyDescent="0.3">
      <c r="A52" s="4">
        <v>7</v>
      </c>
      <c r="B52" s="3" t="s">
        <v>12</v>
      </c>
      <c r="C52" s="8">
        <f t="shared" si="2"/>
        <v>113550</v>
      </c>
      <c r="D52" s="9">
        <f>4000+7500+25350</f>
        <v>36850</v>
      </c>
      <c r="E52" s="9">
        <f>4000+7500+25350</f>
        <v>36850</v>
      </c>
      <c r="F52" s="9">
        <f>4000+7500+28350</f>
        <v>39850</v>
      </c>
    </row>
    <row r="53" spans="1:6" ht="20.25" x14ac:dyDescent="0.3">
      <c r="A53" s="4">
        <v>8</v>
      </c>
      <c r="B53" s="3" t="s">
        <v>14</v>
      </c>
      <c r="C53" s="8">
        <f t="shared" si="2"/>
        <v>95000</v>
      </c>
      <c r="D53" s="8">
        <v>7000</v>
      </c>
      <c r="E53" s="8">
        <v>59000</v>
      </c>
      <c r="F53" s="8">
        <f>22000+7000</f>
        <v>29000</v>
      </c>
    </row>
    <row r="54" spans="1:6" ht="20.25" x14ac:dyDescent="0.3">
      <c r="A54" s="4">
        <v>9</v>
      </c>
      <c r="B54" s="3" t="s">
        <v>15</v>
      </c>
      <c r="C54" s="8">
        <f t="shared" si="2"/>
        <v>528000</v>
      </c>
      <c r="D54" s="8">
        <v>0</v>
      </c>
      <c r="E54" s="8">
        <v>0</v>
      </c>
      <c r="F54" s="9">
        <f>50000+478000</f>
        <v>528000</v>
      </c>
    </row>
    <row r="55" spans="1:6" ht="20.25" x14ac:dyDescent="0.3">
      <c r="A55" s="4">
        <v>10</v>
      </c>
      <c r="B55" s="10" t="s">
        <v>13</v>
      </c>
      <c r="C55" s="8">
        <f t="shared" si="2"/>
        <v>662800</v>
      </c>
      <c r="D55" s="8">
        <v>0</v>
      </c>
      <c r="E55" s="8">
        <v>562800</v>
      </c>
      <c r="F55" s="9">
        <v>100000</v>
      </c>
    </row>
    <row r="56" spans="1:6" ht="20.25" x14ac:dyDescent="0.3">
      <c r="A56" s="24" t="s">
        <v>4</v>
      </c>
      <c r="B56" s="25"/>
      <c r="C56" s="8">
        <f>SUM(C46:C55)</f>
        <v>14320231</v>
      </c>
      <c r="D56" s="8">
        <f>SUM(D48:D55)</f>
        <v>2083759</v>
      </c>
      <c r="E56" s="8">
        <f>SUM(E48:E55)</f>
        <v>2775183</v>
      </c>
      <c r="F56" s="9">
        <f>SUM(F48:F55)</f>
        <v>3071242</v>
      </c>
    </row>
    <row r="58" spans="1:6" ht="20.25" x14ac:dyDescent="0.3">
      <c r="A58" s="1" t="s">
        <v>49</v>
      </c>
    </row>
    <row r="59" spans="1:6" ht="20.25" x14ac:dyDescent="0.3">
      <c r="B59" s="1" t="s">
        <v>51</v>
      </c>
    </row>
    <row r="60" spans="1:6" ht="20.25" x14ac:dyDescent="0.3">
      <c r="B60" s="1" t="s">
        <v>50</v>
      </c>
    </row>
    <row r="64" spans="1:6" ht="20.25" x14ac:dyDescent="0.3">
      <c r="A64" s="26" t="s">
        <v>41</v>
      </c>
      <c r="B64" s="26"/>
      <c r="C64" s="26"/>
      <c r="D64" s="1" t="s">
        <v>40</v>
      </c>
    </row>
    <row r="65" spans="1:10" ht="20.25" x14ac:dyDescent="0.3">
      <c r="A65" s="26" t="s">
        <v>21</v>
      </c>
      <c r="B65" s="26"/>
      <c r="C65" s="26"/>
      <c r="D65" s="1" t="s">
        <v>22</v>
      </c>
    </row>
    <row r="66" spans="1:10" ht="20.25" x14ac:dyDescent="0.3">
      <c r="A66" s="26" t="s">
        <v>42</v>
      </c>
      <c r="B66" s="26"/>
      <c r="C66" s="26"/>
      <c r="D66" s="1" t="s">
        <v>20</v>
      </c>
    </row>
    <row r="77" spans="1:10" ht="20.25" x14ac:dyDescent="0.3">
      <c r="A77" s="23" t="s">
        <v>39</v>
      </c>
      <c r="B77" s="23"/>
      <c r="C77" s="23"/>
      <c r="D77" s="23"/>
      <c r="E77" s="23"/>
      <c r="F77" s="23"/>
      <c r="G77" s="27">
        <f>C94+C132+C169+C206</f>
        <v>30191415</v>
      </c>
      <c r="H77" s="28"/>
      <c r="I77" s="28"/>
    </row>
    <row r="78" spans="1:10" ht="20.25" x14ac:dyDescent="0.3">
      <c r="A78" s="23" t="s">
        <v>0</v>
      </c>
      <c r="B78" s="23"/>
      <c r="C78" s="23"/>
      <c r="D78" s="23"/>
      <c r="E78" s="23"/>
      <c r="F78" s="23"/>
      <c r="H78" s="29"/>
      <c r="I78" s="29"/>
    </row>
    <row r="79" spans="1:10" ht="20.25" x14ac:dyDescent="0.3">
      <c r="A79" s="23" t="s">
        <v>34</v>
      </c>
      <c r="B79" s="23"/>
      <c r="C79" s="23"/>
      <c r="D79" s="23"/>
      <c r="E79" s="23"/>
      <c r="F79" s="23"/>
      <c r="H79" s="1">
        <v>1</v>
      </c>
      <c r="I79" s="1">
        <v>2</v>
      </c>
      <c r="J79" s="1">
        <v>3</v>
      </c>
    </row>
    <row r="80" spans="1:10" ht="20.25" x14ac:dyDescent="0.3">
      <c r="A80" s="23" t="s">
        <v>37</v>
      </c>
      <c r="B80" s="23"/>
      <c r="C80" s="23"/>
      <c r="D80" s="23"/>
      <c r="E80" s="23"/>
      <c r="F80" s="23"/>
    </row>
    <row r="82" spans="1:6" ht="20.25" x14ac:dyDescent="0.3">
      <c r="A82" s="21" t="s">
        <v>1</v>
      </c>
      <c r="B82" s="21" t="s">
        <v>2</v>
      </c>
      <c r="C82" s="22" t="s">
        <v>3</v>
      </c>
      <c r="D82" s="22"/>
      <c r="E82" s="22"/>
      <c r="F82" s="22"/>
    </row>
    <row r="83" spans="1:6" ht="20.25" x14ac:dyDescent="0.3">
      <c r="A83" s="21"/>
      <c r="B83" s="21"/>
      <c r="C83" s="19" t="s">
        <v>4</v>
      </c>
      <c r="D83" s="19" t="s">
        <v>26</v>
      </c>
      <c r="E83" s="19" t="s">
        <v>27</v>
      </c>
      <c r="F83" s="19" t="s">
        <v>28</v>
      </c>
    </row>
    <row r="84" spans="1:6" ht="20.25" x14ac:dyDescent="0.3">
      <c r="A84" s="4">
        <v>1</v>
      </c>
      <c r="B84" s="3" t="s">
        <v>8</v>
      </c>
      <c r="C84" s="8">
        <f>D84+E84+F84</f>
        <v>5638767</v>
      </c>
      <c r="D84" s="9">
        <v>1879589</v>
      </c>
      <c r="E84" s="9">
        <v>1879589</v>
      </c>
      <c r="F84" s="9">
        <v>1879589</v>
      </c>
    </row>
    <row r="85" spans="1:6" ht="20.25" x14ac:dyDescent="0.3">
      <c r="A85" s="4">
        <v>2</v>
      </c>
      <c r="B85" s="3" t="s">
        <v>43</v>
      </c>
      <c r="C85" s="8">
        <f t="shared" ref="C85" si="3">D85+E85+F85</f>
        <v>750780</v>
      </c>
      <c r="D85" s="9">
        <v>250260</v>
      </c>
      <c r="E85" s="9">
        <v>250260</v>
      </c>
      <c r="F85" s="9">
        <v>250260</v>
      </c>
    </row>
    <row r="86" spans="1:6" ht="20.25" x14ac:dyDescent="0.3">
      <c r="A86" s="4">
        <v>3</v>
      </c>
      <c r="B86" s="3" t="s">
        <v>44</v>
      </c>
      <c r="C86" s="8">
        <f>D86+E86+F86</f>
        <v>4577418</v>
      </c>
      <c r="D86" s="9">
        <f>147645+119567+116664+352277+266920+701040+30110</f>
        <v>1734223</v>
      </c>
      <c r="E86" s="9">
        <f>147645+119567+116664+47803+266920+701040+30110</f>
        <v>1429749</v>
      </c>
      <c r="F86" s="9">
        <f>147645+119567+116664+31500+266920+701040+30110</f>
        <v>1413446</v>
      </c>
    </row>
    <row r="87" spans="1:6" ht="20.25" x14ac:dyDescent="0.3">
      <c r="A87" s="4">
        <v>4</v>
      </c>
      <c r="B87" s="3" t="s">
        <v>9</v>
      </c>
      <c r="C87" s="8">
        <f t="shared" ref="C87:C92" si="4">D87+E87+F87</f>
        <v>193648</v>
      </c>
      <c r="D87" s="9">
        <f>10085+9166+7400+12000+14000</f>
        <v>52651</v>
      </c>
      <c r="E87" s="9">
        <f>10085+9166+14600+17500+14000</f>
        <v>65351</v>
      </c>
      <c r="F87" s="9">
        <f>10080+9166+5000+27400+10000+14000</f>
        <v>75646</v>
      </c>
    </row>
    <row r="88" spans="1:6" ht="20.25" x14ac:dyDescent="0.3">
      <c r="A88" s="4">
        <v>5</v>
      </c>
      <c r="B88" s="3" t="s">
        <v>10</v>
      </c>
      <c r="C88" s="8">
        <f t="shared" si="4"/>
        <v>1676449</v>
      </c>
      <c r="D88" s="9">
        <f>38340+79333+30000+30000+10000+116840+50000+343000+78000+7000+3000+30000</f>
        <v>815513</v>
      </c>
      <c r="E88" s="9">
        <f>38330+79333+5000+15000+262610+9000+86000+7000+20000+3000+10000</f>
        <v>535273</v>
      </c>
      <c r="F88" s="9">
        <f>38330+79333+10000+20000+10000+10000+24000+104000+7000+23000</f>
        <v>325663</v>
      </c>
    </row>
    <row r="89" spans="1:6" ht="20.25" x14ac:dyDescent="0.3">
      <c r="A89" s="4">
        <v>6</v>
      </c>
      <c r="B89" s="3" t="s">
        <v>11</v>
      </c>
      <c r="C89" s="8">
        <f t="shared" si="4"/>
        <v>888757</v>
      </c>
      <c r="D89" s="8">
        <f>9000+16000+150000+11000+5000+128019+40400+80000+10000+5000</f>
        <v>454419</v>
      </c>
      <c r="E89" s="8">
        <f>9000+16000+10000+5000+118019+5400+33000+12000</f>
        <v>208419</v>
      </c>
      <c r="F89" s="8">
        <f>9000+16000+15000+118019+400+63000+4500</f>
        <v>225919</v>
      </c>
    </row>
    <row r="90" spans="1:6" ht="20.25" x14ac:dyDescent="0.3">
      <c r="A90" s="4">
        <v>7</v>
      </c>
      <c r="B90" s="3" t="s">
        <v>12</v>
      </c>
      <c r="C90" s="8">
        <f t="shared" si="4"/>
        <v>113550</v>
      </c>
      <c r="D90" s="9">
        <f>4000+7500+27300</f>
        <v>38800</v>
      </c>
      <c r="E90" s="9">
        <f>4000+7500+25350</f>
        <v>36850</v>
      </c>
      <c r="F90" s="9">
        <f>4000+7500+26400</f>
        <v>37900</v>
      </c>
    </row>
    <row r="91" spans="1:6" ht="20.25" x14ac:dyDescent="0.3">
      <c r="A91" s="4">
        <v>8</v>
      </c>
      <c r="B91" s="3" t="s">
        <v>14</v>
      </c>
      <c r="C91" s="8">
        <f t="shared" si="4"/>
        <v>51600</v>
      </c>
      <c r="D91" s="8">
        <v>0</v>
      </c>
      <c r="E91" s="8">
        <v>51600</v>
      </c>
      <c r="F91" s="8">
        <v>0</v>
      </c>
    </row>
    <row r="92" spans="1:6" ht="20.25" x14ac:dyDescent="0.3">
      <c r="A92" s="4">
        <v>9</v>
      </c>
      <c r="B92" s="3" t="s">
        <v>15</v>
      </c>
      <c r="C92" s="8">
        <f t="shared" si="4"/>
        <v>1722000</v>
      </c>
      <c r="D92" s="8">
        <v>533000</v>
      </c>
      <c r="E92" s="8">
        <f>555000+200000</f>
        <v>755000</v>
      </c>
      <c r="F92" s="9">
        <v>434000</v>
      </c>
    </row>
    <row r="93" spans="1:6" ht="20.25" x14ac:dyDescent="0.3">
      <c r="A93" s="4">
        <v>10</v>
      </c>
      <c r="B93" s="10" t="s">
        <v>13</v>
      </c>
      <c r="C93" s="8">
        <f>D93+E93+F93</f>
        <v>842800</v>
      </c>
      <c r="D93" s="8">
        <v>0</v>
      </c>
      <c r="E93" s="8">
        <v>562800</v>
      </c>
      <c r="F93" s="9">
        <v>280000</v>
      </c>
    </row>
    <row r="94" spans="1:6" ht="20.25" x14ac:dyDescent="0.3">
      <c r="A94" s="24" t="s">
        <v>4</v>
      </c>
      <c r="B94" s="25"/>
      <c r="C94" s="8">
        <f>SUM(C84:C93)</f>
        <v>16455769</v>
      </c>
      <c r="D94" s="8">
        <f>SUM(D84:D93)</f>
        <v>5758455</v>
      </c>
      <c r="E94" s="8">
        <f>SUM(E84:E92)</f>
        <v>5212091</v>
      </c>
      <c r="F94" s="8">
        <f>SUM(F86:F93)</f>
        <v>2792574</v>
      </c>
    </row>
    <row r="96" spans="1:6" ht="20.25" x14ac:dyDescent="0.3">
      <c r="A96" s="1" t="s">
        <v>49</v>
      </c>
    </row>
    <row r="97" spans="1:4" ht="20.25" x14ac:dyDescent="0.3">
      <c r="B97" s="1" t="s">
        <v>51</v>
      </c>
    </row>
    <row r="98" spans="1:4" ht="20.25" x14ac:dyDescent="0.3">
      <c r="B98" s="1" t="s">
        <v>50</v>
      </c>
    </row>
    <row r="102" spans="1:4" ht="20.25" x14ac:dyDescent="0.3">
      <c r="A102" s="26" t="s">
        <v>41</v>
      </c>
      <c r="B102" s="26"/>
      <c r="C102" s="26"/>
      <c r="D102" s="1" t="s">
        <v>40</v>
      </c>
    </row>
    <row r="103" spans="1:4" ht="20.25" x14ac:dyDescent="0.3">
      <c r="A103" s="26" t="s">
        <v>21</v>
      </c>
      <c r="B103" s="26"/>
      <c r="C103" s="26"/>
      <c r="D103" s="1" t="s">
        <v>22</v>
      </c>
    </row>
    <row r="104" spans="1:4" ht="20.25" x14ac:dyDescent="0.3">
      <c r="A104" s="26" t="s">
        <v>42</v>
      </c>
      <c r="B104" s="26"/>
      <c r="C104" s="26"/>
      <c r="D104" s="1" t="s">
        <v>20</v>
      </c>
    </row>
    <row r="115" spans="1:10" ht="20.25" x14ac:dyDescent="0.3">
      <c r="A115" s="23" t="s">
        <v>39</v>
      </c>
      <c r="B115" s="23"/>
      <c r="C115" s="23"/>
      <c r="D115" s="23"/>
      <c r="E115" s="23"/>
      <c r="F115" s="23"/>
      <c r="G115" s="27">
        <f>C132+C169+C206+C243</f>
        <v>13735646</v>
      </c>
      <c r="H115" s="28"/>
      <c r="I115" s="28"/>
    </row>
    <row r="116" spans="1:10" ht="20.25" x14ac:dyDescent="0.3">
      <c r="A116" s="23" t="s">
        <v>0</v>
      </c>
      <c r="B116" s="23"/>
      <c r="C116" s="23"/>
      <c r="D116" s="23"/>
      <c r="E116" s="23"/>
      <c r="F116" s="23"/>
      <c r="H116" s="29"/>
      <c r="I116" s="29"/>
    </row>
    <row r="117" spans="1:10" ht="20.25" x14ac:dyDescent="0.3">
      <c r="A117" s="23" t="s">
        <v>34</v>
      </c>
      <c r="B117" s="23"/>
      <c r="C117" s="23"/>
      <c r="D117" s="23"/>
      <c r="E117" s="23"/>
      <c r="F117" s="23"/>
      <c r="H117" s="1">
        <v>1</v>
      </c>
      <c r="I117" s="1">
        <v>2</v>
      </c>
      <c r="J117" s="1">
        <v>3</v>
      </c>
    </row>
    <row r="118" spans="1:10" ht="20.25" x14ac:dyDescent="0.3">
      <c r="A118" s="23" t="s">
        <v>45</v>
      </c>
      <c r="B118" s="23"/>
      <c r="C118" s="23"/>
      <c r="D118" s="23"/>
      <c r="E118" s="23"/>
      <c r="F118" s="23"/>
    </row>
    <row r="120" spans="1:10" ht="20.25" x14ac:dyDescent="0.3">
      <c r="A120" s="21" t="s">
        <v>1</v>
      </c>
      <c r="B120" s="21" t="s">
        <v>2</v>
      </c>
      <c r="C120" s="22" t="s">
        <v>3</v>
      </c>
      <c r="D120" s="22"/>
      <c r="E120" s="22"/>
      <c r="F120" s="22"/>
    </row>
    <row r="121" spans="1:10" ht="20.25" x14ac:dyDescent="0.3">
      <c r="A121" s="21"/>
      <c r="B121" s="21"/>
      <c r="C121" s="19" t="s">
        <v>4</v>
      </c>
      <c r="D121" s="19" t="s">
        <v>46</v>
      </c>
      <c r="E121" s="19" t="s">
        <v>29</v>
      </c>
      <c r="F121" s="19" t="s">
        <v>30</v>
      </c>
    </row>
    <row r="122" spans="1:10" ht="20.25" x14ac:dyDescent="0.3">
      <c r="A122" s="4">
        <v>1</v>
      </c>
      <c r="B122" s="3" t="s">
        <v>8</v>
      </c>
      <c r="C122" s="8">
        <f>D122+E122+F122</f>
        <v>5640022</v>
      </c>
      <c r="D122" s="9">
        <v>1879589</v>
      </c>
      <c r="E122" s="9">
        <v>1879589</v>
      </c>
      <c r="F122" s="9">
        <v>1880844</v>
      </c>
    </row>
    <row r="123" spans="1:10" ht="20.25" x14ac:dyDescent="0.3">
      <c r="A123" s="4">
        <v>2</v>
      </c>
      <c r="B123" s="3" t="s">
        <v>43</v>
      </c>
      <c r="C123" s="8">
        <f t="shared" ref="C123" si="5">D123+E123+F123</f>
        <v>750780</v>
      </c>
      <c r="D123" s="9">
        <v>250260</v>
      </c>
      <c r="E123" s="9">
        <v>250260</v>
      </c>
      <c r="F123" s="9">
        <v>250260</v>
      </c>
    </row>
    <row r="124" spans="1:10" ht="20.25" x14ac:dyDescent="0.3">
      <c r="A124" s="4">
        <v>3</v>
      </c>
      <c r="B124" s="3" t="s">
        <v>44</v>
      </c>
      <c r="C124" s="8">
        <f>D124+E124+F124</f>
        <v>4255872</v>
      </c>
      <c r="D124" s="9">
        <f>147645+119567+121852+31500+266920+701040+30110</f>
        <v>1418634</v>
      </c>
      <c r="E124" s="9">
        <f>147645+119567+121832+31500+266920+701040+30110</f>
        <v>1418614</v>
      </c>
      <c r="F124" s="9">
        <f>147645+119567+121842+31500+266920+701040+30110</f>
        <v>1418624</v>
      </c>
    </row>
    <row r="125" spans="1:10" ht="20.25" x14ac:dyDescent="0.3">
      <c r="A125" s="4">
        <v>4</v>
      </c>
      <c r="B125" s="3" t="s">
        <v>9</v>
      </c>
      <c r="C125" s="8">
        <f t="shared" ref="C125:C130" si="6">D125+E125+F125</f>
        <v>151508</v>
      </c>
      <c r="D125" s="9">
        <f>10085+9166+5000+5760+11000+14000</f>
        <v>55011</v>
      </c>
      <c r="E125" s="9">
        <f>10085+9166+5000+10000+14000</f>
        <v>48251</v>
      </c>
      <c r="F125" s="9">
        <f>10080+9166+5000+10000+14000</f>
        <v>48246</v>
      </c>
    </row>
    <row r="126" spans="1:10" ht="20.25" x14ac:dyDescent="0.3">
      <c r="A126" s="4">
        <v>5</v>
      </c>
      <c r="B126" s="3" t="s">
        <v>10</v>
      </c>
      <c r="C126" s="8">
        <f t="shared" si="6"/>
        <v>1252719</v>
      </c>
      <c r="D126" s="9">
        <f>38340+79333+5000+15000+156840+29000+78000+7000+13000+15000</f>
        <v>436513</v>
      </c>
      <c r="E126" s="9">
        <f>38330+79333+5000+10000+146840+7000+78000+7000+40000+8000+10000</f>
        <v>429503</v>
      </c>
      <c r="F126" s="9">
        <f>38330+79333+10000+139040+17000+93000+7000+3000</f>
        <v>386703</v>
      </c>
    </row>
    <row r="127" spans="1:10" ht="20.25" x14ac:dyDescent="0.3">
      <c r="A127" s="4">
        <v>6</v>
      </c>
      <c r="B127" s="3" t="s">
        <v>11</v>
      </c>
      <c r="C127" s="8">
        <f t="shared" si="6"/>
        <v>668395</v>
      </c>
      <c r="D127" s="8">
        <f>9000+16000+12000+4000+139458+40400+25500+2500+10000+4000</f>
        <v>262858</v>
      </c>
      <c r="E127" s="8">
        <f>9000+16000+8000+4000+143383+500+15000+4000</f>
        <v>199883</v>
      </c>
      <c r="F127" s="8">
        <f>9000+16000+8000+4000+140654+5500+18500+4000</f>
        <v>205654</v>
      </c>
    </row>
    <row r="128" spans="1:10" ht="20.25" x14ac:dyDescent="0.3">
      <c r="A128" s="4">
        <v>7</v>
      </c>
      <c r="B128" s="3" t="s">
        <v>12</v>
      </c>
      <c r="C128" s="8">
        <f t="shared" si="6"/>
        <v>113550</v>
      </c>
      <c r="D128" s="9">
        <f>4000+7500+25350</f>
        <v>36850</v>
      </c>
      <c r="E128" s="9">
        <f>4000+7500+27300</f>
        <v>38800</v>
      </c>
      <c r="F128" s="9">
        <f>4000+7500+26400</f>
        <v>37900</v>
      </c>
    </row>
    <row r="129" spans="1:6" ht="20.25" x14ac:dyDescent="0.3">
      <c r="A129" s="4">
        <v>8</v>
      </c>
      <c r="B129" s="3" t="s">
        <v>14</v>
      </c>
      <c r="C129" s="8">
        <f t="shared" si="6"/>
        <v>0</v>
      </c>
      <c r="D129" s="8">
        <v>0</v>
      </c>
      <c r="E129" s="8">
        <v>0</v>
      </c>
      <c r="F129" s="8">
        <v>0</v>
      </c>
    </row>
    <row r="130" spans="1:6" ht="20.25" x14ac:dyDescent="0.3">
      <c r="A130" s="4">
        <v>9</v>
      </c>
      <c r="B130" s="3" t="s">
        <v>15</v>
      </c>
      <c r="C130" s="8">
        <f t="shared" si="6"/>
        <v>10000</v>
      </c>
      <c r="D130" s="8">
        <v>0</v>
      </c>
      <c r="E130" s="8">
        <v>10000</v>
      </c>
      <c r="F130" s="9">
        <v>0</v>
      </c>
    </row>
    <row r="131" spans="1:6" ht="20.25" x14ac:dyDescent="0.3">
      <c r="A131" s="4">
        <v>10</v>
      </c>
      <c r="B131" s="10" t="s">
        <v>13</v>
      </c>
      <c r="C131" s="8">
        <f>D131+E131+F131</f>
        <v>892800</v>
      </c>
      <c r="D131" s="8">
        <f>140000+562800+50000</f>
        <v>752800</v>
      </c>
      <c r="E131" s="8">
        <f>50000+30000</f>
        <v>80000</v>
      </c>
      <c r="F131" s="9">
        <v>60000</v>
      </c>
    </row>
    <row r="132" spans="1:6" ht="20.25" x14ac:dyDescent="0.3">
      <c r="A132" s="24" t="s">
        <v>4</v>
      </c>
      <c r="B132" s="25"/>
      <c r="C132" s="8">
        <f>SUM(C122:C131)</f>
        <v>13735646</v>
      </c>
      <c r="D132" s="8">
        <f>SUM(D122:D130)</f>
        <v>4339715</v>
      </c>
      <c r="E132" s="8">
        <f>SUM(E122:E130)</f>
        <v>4274900</v>
      </c>
      <c r="F132" s="8">
        <f>SUM(F122:F130)</f>
        <v>4228231</v>
      </c>
    </row>
    <row r="134" spans="1:6" ht="20.25" x14ac:dyDescent="0.3">
      <c r="A134" s="1" t="s">
        <v>49</v>
      </c>
    </row>
    <row r="135" spans="1:6" ht="20.25" x14ac:dyDescent="0.3">
      <c r="B135" s="1" t="s">
        <v>51</v>
      </c>
    </row>
    <row r="136" spans="1:6" ht="20.25" x14ac:dyDescent="0.3">
      <c r="B136" s="1" t="s">
        <v>50</v>
      </c>
    </row>
    <row r="140" spans="1:6" ht="20.25" x14ac:dyDescent="0.3">
      <c r="A140" s="26" t="s">
        <v>41</v>
      </c>
      <c r="B140" s="26"/>
      <c r="C140" s="26"/>
      <c r="D140" s="1" t="s">
        <v>40</v>
      </c>
    </row>
    <row r="141" spans="1:6" ht="20.25" x14ac:dyDescent="0.3">
      <c r="A141" s="26" t="s">
        <v>21</v>
      </c>
      <c r="B141" s="26"/>
      <c r="C141" s="26"/>
      <c r="D141" s="1" t="s">
        <v>22</v>
      </c>
    </row>
    <row r="142" spans="1:6" ht="20.25" x14ac:dyDescent="0.3">
      <c r="A142" s="26" t="s">
        <v>42</v>
      </c>
      <c r="B142" s="26"/>
      <c r="C142" s="26"/>
      <c r="D142" s="1" t="s">
        <v>20</v>
      </c>
    </row>
  </sheetData>
  <mergeCells count="52">
    <mergeCell ref="A140:C140"/>
    <mergeCell ref="A141:C141"/>
    <mergeCell ref="A142:C142"/>
    <mergeCell ref="A117:F117"/>
    <mergeCell ref="A118:F118"/>
    <mergeCell ref="A120:A121"/>
    <mergeCell ref="B120:B121"/>
    <mergeCell ref="C120:F120"/>
    <mergeCell ref="A132:B132"/>
    <mergeCell ref="A102:C102"/>
    <mergeCell ref="A103:C103"/>
    <mergeCell ref="A104:C104"/>
    <mergeCell ref="A115:F115"/>
    <mergeCell ref="G115:I115"/>
    <mergeCell ref="A116:F116"/>
    <mergeCell ref="H116:I116"/>
    <mergeCell ref="A79:F79"/>
    <mergeCell ref="A80:F80"/>
    <mergeCell ref="A82:A83"/>
    <mergeCell ref="B82:B83"/>
    <mergeCell ref="C82:F82"/>
    <mergeCell ref="A94:B94"/>
    <mergeCell ref="A65:C65"/>
    <mergeCell ref="A66:C66"/>
    <mergeCell ref="A77:F77"/>
    <mergeCell ref="G77:I77"/>
    <mergeCell ref="A78:F78"/>
    <mergeCell ref="H78:I78"/>
    <mergeCell ref="A42:F42"/>
    <mergeCell ref="A44:A45"/>
    <mergeCell ref="B44:B45"/>
    <mergeCell ref="C44:F44"/>
    <mergeCell ref="A56:B56"/>
    <mergeCell ref="A64:C64"/>
    <mergeCell ref="A28:C28"/>
    <mergeCell ref="A39:F39"/>
    <mergeCell ref="G39:I39"/>
    <mergeCell ref="A40:F40"/>
    <mergeCell ref="H40:I40"/>
    <mergeCell ref="A41:F41"/>
    <mergeCell ref="A6:A7"/>
    <mergeCell ref="B6:B7"/>
    <mergeCell ref="C6:F6"/>
    <mergeCell ref="A18:B18"/>
    <mergeCell ref="A26:C26"/>
    <mergeCell ref="A27:C27"/>
    <mergeCell ref="A1:F1"/>
    <mergeCell ref="G1:I1"/>
    <mergeCell ref="A2:F2"/>
    <mergeCell ref="H2:I2"/>
    <mergeCell ref="A3:F3"/>
    <mergeCell ref="A4:F4"/>
  </mergeCells>
  <pageMargins left="0.78740157480314965" right="0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แผนงานบริหารงานทั่วไป (กองคลัง)</vt:lpstr>
      <vt:lpstr>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2022-01-20T09:00:04Z</cp:lastPrinted>
  <dcterms:created xsi:type="dcterms:W3CDTF">2019-02-22T02:44:08Z</dcterms:created>
  <dcterms:modified xsi:type="dcterms:W3CDTF">2022-01-20T09:00:33Z</dcterms:modified>
</cp:coreProperties>
</file>